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ElsIU0E3/FOjvs5XAvd02+HMmenxtS4nPsXqjmGqF1AOW4/6b/ByMTrMapL3cBxu589qv67BSEbykoBGr+kgyQ==" workbookSaltValue="pdYe/2riYTeejv0x+UC0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U10" i="11"/>
  <c r="R32" i="20"/>
  <c r="AJ32" i="20"/>
  <c r="G30" i="14"/>
  <c r="G23" i="14"/>
  <c r="U18" i="11"/>
  <c r="AX32" i="20"/>
  <c r="Y32" i="20"/>
  <c r="L32" i="20"/>
  <c r="AG32" i="20"/>
  <c r="H32" i="20"/>
  <c r="T32" i="21"/>
  <c r="F32" i="20"/>
  <c r="AF32" i="20"/>
  <c r="G26" i="14"/>
  <c r="S32" i="20"/>
  <c r="K32" i="20"/>
  <c r="AQ32" i="21"/>
  <c r="O17" i="11"/>
  <c r="E32" i="20"/>
  <c r="M32" i="20"/>
  <c r="AI32" i="20"/>
  <c r="AM32" i="20"/>
  <c r="I32" i="20"/>
  <c r="J32" i="20"/>
  <c r="Q32" i="20"/>
  <c r="AK32" i="20"/>
  <c r="AE32" i="20"/>
  <c r="U12" i="11"/>
  <c r="AU32" i="20"/>
  <c r="AZ32" i="20"/>
  <c r="G14" i="14"/>
  <c r="O18" i="11"/>
  <c r="W32" i="20"/>
  <c r="BF17" i="8" l="1"/>
  <c r="BH30" i="16"/>
  <c r="S13" i="14"/>
  <c r="V13" i="14" s="1"/>
  <c r="S18" i="14"/>
  <c r="V18" i="14" s="1"/>
  <c r="R18" i="14"/>
  <c r="U13" i="16"/>
  <c r="P13" i="14"/>
  <c r="R13" i="17"/>
  <c r="S13" i="17" s="1"/>
  <c r="R8" i="9"/>
  <c r="I13" i="14"/>
  <c r="S28" i="14"/>
  <c r="V28"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N32" i="20"/>
  <c r="AL32" i="20"/>
  <c r="T32" i="20"/>
  <c r="AA32" i="20"/>
  <c r="AN32" i="20"/>
  <c r="AD32" i="20"/>
  <c r="AC32" i="20"/>
  <c r="AV32" i="20"/>
  <c r="O10" i="11"/>
  <c r="AP32" i="20"/>
  <c r="U17" i="11"/>
  <c r="W32" i="21"/>
  <c r="AQ32" i="20"/>
  <c r="Z32" i="20"/>
  <c r="AB32" i="20"/>
  <c r="AO32" i="20"/>
  <c r="AH32" i="20"/>
  <c r="X32" i="20"/>
  <c r="K17" i="12" l="1"/>
  <c r="I10" i="12"/>
  <c r="I16"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Q18" i="20"/>
  <c r="Q23" i="20" s="1"/>
  <c r="BF28" i="11"/>
  <c r="BF18" i="11"/>
  <c r="BK29" i="11"/>
  <c r="AP21" i="20"/>
  <c r="BJ11" i="11"/>
  <c r="BH22" i="16"/>
  <c r="U13" i="17"/>
  <c r="S16" i="16"/>
  <c r="S23" i="16" s="1"/>
  <c r="BL16" i="11"/>
  <c r="BH21" i="11"/>
  <c r="BK20" i="11"/>
  <c r="BJ10" i="11"/>
  <c r="BK17" i="11"/>
  <c r="BH17" i="11"/>
  <c r="AQ12" i="21"/>
  <c r="L2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G25" i="11"/>
  <c r="BH16" i="16"/>
  <c r="BG20" i="11"/>
  <c r="BG22" i="11"/>
  <c r="AZ19" i="11"/>
  <c r="V12" i="21"/>
  <c r="BK11" i="11"/>
  <c r="AZ18" i="11"/>
  <c r="AP10" i="21"/>
  <c r="BH20" i="16"/>
  <c r="R10" i="21"/>
  <c r="BJ20" i="11"/>
  <c r="BG16" i="11"/>
  <c r="BH13" i="11"/>
  <c r="BL13" i="11"/>
  <c r="Q13" i="11" s="1"/>
  <c r="BH18" i="11"/>
  <c r="BM16" i="11"/>
  <c r="Q16" i="11" s="1"/>
  <c r="AO28" i="17"/>
  <c r="BJ25" i="11"/>
  <c r="AZ16" i="11"/>
  <c r="AZ23" i="11" s="1"/>
  <c r="BU16" i="17"/>
  <c r="BU33" i="17" s="1"/>
  <c r="BW19" i="20"/>
  <c r="X20" i="16"/>
  <c r="BU10" i="17"/>
  <c r="BW25" i="20"/>
  <c r="BU22" i="17"/>
  <c r="BU20" i="17"/>
  <c r="BW29" i="20"/>
  <c r="BW22" i="20"/>
  <c r="BV29" i="16"/>
  <c r="S11" i="17"/>
  <c r="BU17" i="17"/>
  <c r="BV20" i="16"/>
  <c r="S22" i="17"/>
  <c r="S25" i="17"/>
  <c r="BF20" i="11"/>
  <c r="AZ11" i="11"/>
  <c r="P16" i="17"/>
  <c r="P23" i="17" s="1"/>
  <c r="P31" i="17" s="1"/>
  <c r="BL20" i="11"/>
  <c r="Q20" i="11" s="1"/>
  <c r="BF12" i="11"/>
  <c r="BH25" i="16"/>
  <c r="AZ25" i="11"/>
  <c r="AZ30" i="11" s="1"/>
  <c r="Q16" i="17"/>
  <c r="BM18" i="11"/>
  <c r="BF16" i="11"/>
  <c r="BF23" i="11" s="1"/>
  <c r="BL22" i="11"/>
  <c r="BI22" i="11"/>
  <c r="BH25" i="11"/>
  <c r="BK10" i="11"/>
  <c r="BK14" i="11" s="1"/>
  <c r="BI21" i="11"/>
  <c r="L10" i="2"/>
  <c r="X21" i="20"/>
  <c r="L16" i="2"/>
  <c r="L17" i="2"/>
  <c r="L18" i="2"/>
  <c r="X16" i="16"/>
  <c r="X23" i="16" s="1"/>
  <c r="L9" i="2"/>
  <c r="V25" i="16"/>
  <c r="R22" i="14"/>
  <c r="R11" i="14"/>
  <c r="S21" i="14"/>
  <c r="V21" i="14" s="1"/>
  <c r="S10" i="14"/>
  <c r="V10" i="14" s="1"/>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P32" i="16"/>
  <c r="BR32" i="16"/>
  <c r="AX32" i="21"/>
  <c r="AW32" i="11"/>
  <c r="O12" i="11"/>
  <c r="H32" i="17"/>
  <c r="O32" i="20"/>
  <c r="AV32" i="21"/>
  <c r="AQ17" i="11" l="1"/>
  <c r="AA31" i="11"/>
  <c r="P20" i="11"/>
  <c r="S31" i="16"/>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M32" i="17"/>
  <c r="AD32" i="21"/>
  <c r="K32" i="21"/>
  <c r="AF32" i="17"/>
  <c r="AF32" i="11"/>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G32" i="11"/>
  <c r="AE32" i="21"/>
  <c r="N32" i="21"/>
  <c r="S32" i="21"/>
  <c r="AW32" i="17"/>
  <c r="L32" i="21"/>
  <c r="AY32" i="16"/>
  <c r="BF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<sst xmlns="http://schemas.openxmlformats.org/spreadsheetml/2006/main" count="2682" uniqueCount="1193">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</sst>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495OY6etMSRswveIyaBZPJGyMb2/nxu/v0sBdbm5rGK/bnRQ1kkBPU4h2s1ExpMxwcDqJ/8WFRY8KSzpSdWyQ==" saltValue="dzs7VVh85dF/iScQjLR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192</v>
      </c>
      <c r="D10" s="239">
        <f>IF(ISNUMBER(Datos!I10),Datos!I10," - ")</f>
        <v>178</v>
      </c>
      <c r="E10" s="240">
        <f>IF(ISNUMBER(Datos!J10),Datos!J10," - ")</f>
        <v>116</v>
      </c>
      <c r="F10" s="240">
        <f>IF(ISNUMBER(Datos!K10),Datos!K10," - ")</f>
        <v>146</v>
      </c>
      <c r="G10" s="1390" t="str">
        <f>IF(Datos!E10&lt;&gt;"",Datos!E10,Datos!D10)</f>
        <v>37</v>
      </c>
      <c r="H10" s="241">
        <f>IF(ISNUMBER(Datos!L10),Datos!L10," - ")</f>
        <v>162</v>
      </c>
      <c r="I10" s="1400" t="str">
        <f>IF(ISNUMBER(Datos!AS10/Datos!BM10),Datos!AS10/Datos!BM10," - ")</f>
        <v xml:space="preserve"> - </v>
      </c>
      <c r="J10" s="1401">
        <f>IF(ISNUMBER(Datos!BY10/Datos!CN10),Datos!BY10/Datos!CN10," - ")</f>
        <v>0</v>
      </c>
      <c r="K10" s="244">
        <f t="shared" ref="K10:K13" si="1">IF(ISNUMBER((E10-F10)/C10),(E10-F10)/C10," - ")</f>
        <v>-0.15625</v>
      </c>
      <c r="L10" s="1402">
        <f>IF(ISNUMBER(NºAsuntos!I10/NºAsuntos!G10),(NºAsuntos!I10/NºAsuntos!G10)*11," - ")</f>
        <v>12.205479452054794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8.6822677499116914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192</v>
      </c>
      <c r="D14" s="1407">
        <f>SUBTOTAL(9,D9:D13)</f>
        <v>178</v>
      </c>
      <c r="E14" s="1408">
        <f>SUBTOTAL(9,E9:E13)</f>
        <v>116</v>
      </c>
      <c r="F14" s="1409">
        <f>SUBTOTAL(9,F9:F13)</f>
        <v>146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866</v>
      </c>
      <c r="D17" s="239">
        <f>IF(ISNUMBER(IF(D_I="SI",Datos!I17,Datos!I17+Datos!AC17)),IF(D_I="SI",Datos!I17,Datos!I17+Datos!AC17)," - ")</f>
        <v>926</v>
      </c>
      <c r="E17" s="240">
        <f>IF(ISNUMBER(IF(D_I="SI",Datos!J17,Datos!J17+Datos!AD17)),IF(D_I="SI",Datos!J17,Datos!J17+Datos!AD17)," - ")</f>
        <v>6252</v>
      </c>
      <c r="F17" s="240">
        <f>IF(ISNUMBER(IF(D_I="SI",Datos!K17,Datos!K17+Datos!AE17)),IF(D_I="SI",Datos!K17,Datos!K17+Datos!AE17)," - ")</f>
        <v>5815</v>
      </c>
      <c r="G17" s="1390" t="str">
        <f>IF(Datos!E17&lt;&gt;"",Datos!E17,Datos!D17)</f>
        <v>04</v>
      </c>
      <c r="H17" s="241">
        <f>IF(ISNUMBER(IF(D_I="SI",Datos!L17,Datos!L17+Datos!AF17)),IF(D_I="SI",Datos!L17,Datos!L17+Datos!AF17)," - ")</f>
        <v>1303</v>
      </c>
      <c r="I17" s="1400" t="str">
        <f>IF(ISNUMBER(Datos!AS17/Datos!BM17),Datos!AS17/Datos!BM17," - ")</f>
        <v xml:space="preserve"> - </v>
      </c>
      <c r="J17" s="1401">
        <f>IF(ISNUMBER(Datos!BY17/Datos!CN17),Datos!BY17/Datos!CN17," - ")</f>
        <v>0</v>
      </c>
      <c r="K17" s="244">
        <f t="shared" si="3"/>
        <v>0.50461893764434185</v>
      </c>
      <c r="L17" s="1402">
        <f>IF(ISNUMBER(NºAsuntos!I17/NºAsuntos!G17),(NºAsuntos!I17/NºAsuntos!G17)*11," - ")</f>
        <v>2.4648323301805672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124</v>
      </c>
      <c r="E18" s="240">
        <f>IF(ISNUMBER(IF(D_I="SI",Datos!J18,Datos!J18+Datos!AD18)),IF(D_I="SI",Datos!J18,Datos!J18+Datos!AD18)," - ")</f>
        <v>1012</v>
      </c>
      <c r="F18" s="240">
        <f>IF(ISNUMBER(IF(D_I="SI",Datos!K18,Datos!K18+Datos!AE18)),IF(D_I="SI",Datos!K18,Datos!K18+Datos!AE18)," - ")</f>
        <v>1034</v>
      </c>
      <c r="G18" s="1390" t="str">
        <f>IF(Datos!E18&lt;&gt;"",Datos!E18,Datos!D18)</f>
        <v>37</v>
      </c>
      <c r="H18" s="241">
        <f>IF(ISNUMBER(IF(D_I="SI",Datos!L18,Datos!L18+Datos!AF18)),IF(D_I="SI",Datos!L18,Datos!L18+Datos!AF18)," - ")</f>
        <v>158</v>
      </c>
      <c r="I18" s="1400" t="str">
        <f>IF(ISNUMBER(Datos!AS18/Datos!BM18),Datos!AS18/Datos!BM18," - ")</f>
        <v xml:space="preserve"> - </v>
      </c>
      <c r="J18" s="1401" t="str">
        <f>IF(ISNUMBER((Datos!BY18+Datos!BZ18)/Datos!CN18),(Datos!BY18+Datos!BZ18)/Datos!CN18," - ")</f>
        <v xml:space="preserve"> - </v>
      </c>
      <c r="K18" s="244">
        <f t="shared" si="3"/>
        <v>-0.12222222222222222</v>
      </c>
      <c r="L18" s="1402">
        <f>IF(ISNUMBER(NºAsuntos!I18/NºAsuntos!G18),(NºAsuntos!I18/NºAsuntos!G18)*11," - ")</f>
        <v>1.6808510638297871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1046</v>
      </c>
      <c r="D23" s="1407">
        <f>SUBTOTAL(9,D16:D22)</f>
        <v>1050</v>
      </c>
      <c r="E23" s="1408">
        <f>SUBTOTAL(9,E16:E22)</f>
        <v>7264</v>
      </c>
      <c r="F23" s="1408">
        <f>SUBTOTAL(9,F16:F22)</f>
        <v>6849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1238</v>
      </c>
      <c r="D31" s="1435">
        <f>SUBTOTAL(9,D9:D30)</f>
        <v>1228</v>
      </c>
      <c r="E31" s="1436">
        <f>SUBTOTAL(9,E9:E30)</f>
        <v>7380</v>
      </c>
      <c r="F31" s="1436">
        <f>SUBTOTAL(9,F9:F30)</f>
        <v>6995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u14/5X1RSGwwsHqBHrbT5rUhubc7eHZXi4AMKHgF7DOUGPldwAlFHnErJRKKUjxCB9drtEVqqwjT+OiM4WB+Q==" saltValue="0o86k9muRbNTXcM+k1n8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NlLXeGm7ljOAttko6goReTRzy6HvSeDBpENeB+fVhLccdgE6I1fcDR+QfEgRH/k32iEJRJqH3R0WfNnMXbfiw==" saltValue="lvVz6QvKELyPqztwwvS4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178</v>
      </c>
      <c r="J10" s="194">
        <v>116</v>
      </c>
      <c r="K10" s="194">
        <v>146</v>
      </c>
      <c r="L10" s="194">
        <v>162</v>
      </c>
      <c r="M10" s="194">
        <v>65</v>
      </c>
      <c r="N10" s="194">
        <v>67</v>
      </c>
      <c r="O10" s="194">
        <v>25</v>
      </c>
      <c r="P10" s="194">
        <v>5</v>
      </c>
      <c r="Q10" s="194">
        <v>13</v>
      </c>
      <c r="R10" s="194">
        <v>27</v>
      </c>
      <c r="S10" s="194">
        <v>183</v>
      </c>
      <c r="T10" s="194">
        <v>93</v>
      </c>
      <c r="U10" s="194">
        <v>98</v>
      </c>
      <c r="V10" s="194">
        <v>178</v>
      </c>
      <c r="W10" s="194">
        <v>34</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183</v>
      </c>
      <c r="AZ10" s="139">
        <f t="shared" si="0"/>
        <v>93</v>
      </c>
      <c r="BA10" s="139">
        <f t="shared" si="0"/>
        <v>98</v>
      </c>
      <c r="BB10" s="139">
        <f t="shared" si="0"/>
        <v>178</v>
      </c>
      <c r="BC10" s="135">
        <f t="shared" si="0"/>
        <v>34</v>
      </c>
      <c r="BD10" s="136">
        <f>IF(ISNUMBER(BA10/AZ10),BA10/AZ10," - ")</f>
        <v>1.053763440860215</v>
      </c>
      <c r="BE10" s="137">
        <f>IF(ISNUMBER(BB10/BA10),BB10/BA10, " - ")</f>
        <v>1.8163265306122449</v>
      </c>
      <c r="BF10" s="137">
        <f>IF(ISNUMBER(BC10/BA10),BC10/BA10, " - ")</f>
        <v>0.34693877551020408</v>
      </c>
      <c r="BG10" s="209">
        <f>IF(ISNUMBER((AY10+AZ10)/BA10),(AY10+AZ10)/BA10," - ")</f>
        <v>2.8163265306122449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4867</v>
      </c>
      <c r="J12" s="196">
        <v>4922</v>
      </c>
      <c r="K12" s="196">
        <v>5392</v>
      </c>
      <c r="L12" s="196">
        <v>4327</v>
      </c>
      <c r="M12" s="196">
        <v>951</v>
      </c>
      <c r="N12" s="196">
        <v>2606</v>
      </c>
      <c r="O12" s="194">
        <v>1982</v>
      </c>
      <c r="P12" s="196">
        <v>1512</v>
      </c>
      <c r="Q12" s="196">
        <v>1304</v>
      </c>
      <c r="R12" s="196">
        <v>6430</v>
      </c>
      <c r="S12" s="196">
        <v>5753</v>
      </c>
      <c r="T12" s="196">
        <v>5157</v>
      </c>
      <c r="U12" s="196">
        <v>6086</v>
      </c>
      <c r="V12" s="196">
        <v>4867</v>
      </c>
      <c r="W12" s="196">
        <v>1141</v>
      </c>
      <c r="X12" s="202">
        <v>2718</v>
      </c>
      <c r="Y12" s="204">
        <v>88</v>
      </c>
      <c r="Z12" s="194">
        <v>327</v>
      </c>
      <c r="AA12" s="194">
        <v>270</v>
      </c>
      <c r="AB12" s="194">
        <v>142</v>
      </c>
      <c r="AC12" s="196">
        <v>0</v>
      </c>
      <c r="AD12" s="196">
        <v>0</v>
      </c>
      <c r="AE12" s="196">
        <v>0</v>
      </c>
      <c r="AF12" s="202">
        <v>0</v>
      </c>
      <c r="AG12" s="215">
        <v>124</v>
      </c>
      <c r="AH12" s="196">
        <v>382</v>
      </c>
      <c r="AI12" s="196">
        <v>443</v>
      </c>
      <c r="AJ12" s="216">
        <v>88</v>
      </c>
      <c r="AK12" s="195">
        <v>0</v>
      </c>
      <c r="AL12" s="196">
        <v>0</v>
      </c>
      <c r="AM12" s="196">
        <v>0</v>
      </c>
      <c r="AN12" s="202">
        <v>0</v>
      </c>
      <c r="AO12" s="283">
        <v>6</v>
      </c>
      <c r="AP12" s="168">
        <v>6</v>
      </c>
      <c r="AQ12" s="168">
        <v>6</v>
      </c>
      <c r="AR12" s="167">
        <v>6</v>
      </c>
      <c r="AS12" s="381" t="s">
        <v>1075</v>
      </c>
      <c r="AT12" s="216"/>
      <c r="AU12" s="215"/>
      <c r="AV12" s="216"/>
      <c r="AW12" s="215"/>
      <c r="AX12" s="216"/>
      <c r="AY12" s="136">
        <f t="shared" si="1"/>
        <v>5877</v>
      </c>
      <c r="AZ12" s="137">
        <f t="shared" si="1"/>
        <v>5539</v>
      </c>
      <c r="BA12" s="137">
        <f t="shared" si="1"/>
        <v>6529</v>
      </c>
      <c r="BB12" s="137">
        <f t="shared" si="1"/>
        <v>4955</v>
      </c>
      <c r="BC12" s="135">
        <f>IF(ISNUMBER(X12),X12," - ")</f>
        <v>2718</v>
      </c>
      <c r="BD12" s="136">
        <f t="shared" si="2"/>
        <v>1.1787326232171873</v>
      </c>
      <c r="BE12" s="137">
        <f t="shared" si="3"/>
        <v>0.75892173380303263</v>
      </c>
      <c r="BF12" s="137">
        <f t="shared" si="4"/>
        <v>0.41629652320416605</v>
      </c>
      <c r="BG12" s="209">
        <f t="shared" si="5"/>
        <v>1.7485066625823251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5045</v>
      </c>
      <c r="J14" s="197">
        <f t="shared" si="7"/>
        <v>5038</v>
      </c>
      <c r="K14" s="197">
        <f t="shared" si="7"/>
        <v>5538</v>
      </c>
      <c r="L14" s="197">
        <f t="shared" si="7"/>
        <v>4489</v>
      </c>
      <c r="M14" s="197">
        <f t="shared" si="7"/>
        <v>1016</v>
      </c>
      <c r="N14" s="197">
        <f t="shared" si="7"/>
        <v>2673</v>
      </c>
      <c r="O14" s="197">
        <f t="shared" si="7"/>
        <v>2007</v>
      </c>
      <c r="P14" s="197">
        <f t="shared" si="7"/>
        <v>1517</v>
      </c>
      <c r="Q14" s="197">
        <f t="shared" si="7"/>
        <v>1317</v>
      </c>
      <c r="R14" s="197">
        <f t="shared" si="7"/>
        <v>6457</v>
      </c>
      <c r="S14" s="197">
        <f t="shared" si="7"/>
        <v>5936</v>
      </c>
      <c r="T14" s="197">
        <f t="shared" si="7"/>
        <v>5250</v>
      </c>
      <c r="U14" s="197">
        <f t="shared" si="7"/>
        <v>6184</v>
      </c>
      <c r="V14" s="197">
        <f t="shared" si="7"/>
        <v>5045</v>
      </c>
      <c r="W14" s="197">
        <f t="shared" si="7"/>
        <v>1175</v>
      </c>
      <c r="X14" s="197">
        <f t="shared" si="7"/>
        <v>2743</v>
      </c>
      <c r="Y14" s="197">
        <f t="shared" si="7"/>
        <v>88</v>
      </c>
      <c r="Z14" s="197">
        <f t="shared" si="7"/>
        <v>327</v>
      </c>
      <c r="AA14" s="197">
        <f t="shared" si="7"/>
        <v>270</v>
      </c>
      <c r="AB14" s="197">
        <f t="shared" si="7"/>
        <v>142</v>
      </c>
      <c r="AC14" s="197">
        <f t="shared" si="7"/>
        <v>0</v>
      </c>
      <c r="AD14" s="197">
        <f t="shared" si="7"/>
        <v>0</v>
      </c>
      <c r="AE14" s="197">
        <f t="shared" si="7"/>
        <v>0</v>
      </c>
      <c r="AF14" s="197">
        <f>SUBTOTAL(9,AF9:AF13)</f>
        <v>0</v>
      </c>
      <c r="AG14" s="197">
        <f t="shared" ref="AG14:AT14" si="8">SUBTOTAL(9,AG8:AG13)</f>
        <v>124</v>
      </c>
      <c r="AH14" s="197">
        <f t="shared" si="8"/>
        <v>382</v>
      </c>
      <c r="AI14" s="197">
        <f t="shared" si="8"/>
        <v>443</v>
      </c>
      <c r="AJ14" s="197">
        <f t="shared" si="8"/>
        <v>88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6060</v>
      </c>
      <c r="AZ14" s="197">
        <f>SUBTOTAL(9,AZ8:AZ13)</f>
        <v>5632</v>
      </c>
      <c r="BA14" s="197">
        <f>SUBTOTAL(9,BA8:BA13)</f>
        <v>6627</v>
      </c>
      <c r="BB14" s="197">
        <f>SUBTOTAL(9,BB8:BB13)</f>
        <v>5133</v>
      </c>
      <c r="BC14" s="197">
        <f>SUBTOTAL(9,BC8:BC13)</f>
        <v>2752</v>
      </c>
      <c r="BD14" s="219">
        <f>IF(ISNUMBER(BA14/AZ14),BA14/AZ14," - ")</f>
        <v>1.1766690340909092</v>
      </c>
      <c r="BE14" s="220">
        <f>IF(ISNUMBER(BB14/BA14),BB14/BA14, " - ")</f>
        <v>0.7745586238116795</v>
      </c>
      <c r="BF14" s="220">
        <f>IF(ISNUMBER(BC14/BA14),BC14/BA14, " - ")</f>
        <v>0.41527086162667876</v>
      </c>
      <c r="BG14" s="221">
        <f>IF(ISNUMBER((AY14+AZ14)/BA14),(AY14+AZ14)/BA14," - ")</f>
        <v>1.7642975705447412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926</v>
      </c>
      <c r="J17" s="196">
        <v>6252</v>
      </c>
      <c r="K17" s="196">
        <v>5815</v>
      </c>
      <c r="L17" s="196">
        <v>1303</v>
      </c>
      <c r="M17" s="196">
        <v>893</v>
      </c>
      <c r="N17" s="196">
        <v>3563</v>
      </c>
      <c r="O17" s="194">
        <v>15</v>
      </c>
      <c r="P17" s="196">
        <v>157</v>
      </c>
      <c r="Q17" s="196">
        <v>174</v>
      </c>
      <c r="R17" s="196">
        <v>139</v>
      </c>
      <c r="S17" s="196">
        <v>1463</v>
      </c>
      <c r="T17" s="196">
        <v>5663</v>
      </c>
      <c r="U17" s="196">
        <v>5897</v>
      </c>
      <c r="V17" s="196">
        <v>926</v>
      </c>
      <c r="W17" s="196">
        <v>868</v>
      </c>
      <c r="X17" s="202">
        <v>3565</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0</v>
      </c>
      <c r="AO17" s="283">
        <v>6</v>
      </c>
      <c r="AP17" s="168">
        <v>6</v>
      </c>
      <c r="AQ17" s="168">
        <v>6</v>
      </c>
      <c r="AR17" s="168">
        <v>6</v>
      </c>
      <c r="AS17" s="381" t="s">
        <v>650</v>
      </c>
      <c r="AT17" s="216"/>
      <c r="AU17" s="215"/>
      <c r="AV17" s="216"/>
      <c r="AW17" s="215"/>
      <c r="AX17" s="216"/>
      <c r="AY17" s="136">
        <f t="shared" si="10"/>
        <v>1463</v>
      </c>
      <c r="AZ17" s="137">
        <f t="shared" si="10"/>
        <v>5663</v>
      </c>
      <c r="BA17" s="137">
        <f t="shared" si="10"/>
        <v>5897</v>
      </c>
      <c r="BB17" s="137">
        <f t="shared" si="10"/>
        <v>926</v>
      </c>
      <c r="BC17" s="135">
        <f>IF(ISNUMBER(W17),W17," - ")</f>
        <v>868</v>
      </c>
      <c r="BD17" s="136">
        <f t="shared" ref="BD17:BD22" si="12">IF(ISNUMBER(BA17/AZ17),BA17/AZ17," - ")</f>
        <v>1.0413208546706691</v>
      </c>
      <c r="BE17" s="137">
        <f t="shared" ref="BE17:BE22" si="13">IF(ISNUMBER(BB17/BA17),BB17/BA17, " - ")</f>
        <v>0.15702899779548923</v>
      </c>
      <c r="BF17" s="137">
        <f t="shared" ref="BF17:BF22" si="14">IF(ISNUMBER(BC17/BA17),BC17/BA17, " - ")</f>
        <v>0.14719348821434627</v>
      </c>
      <c r="BG17" s="209">
        <f t="shared" si="11"/>
        <v>1.2084110564693913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1012</v>
      </c>
      <c r="K18" s="196">
        <v>1034</v>
      </c>
      <c r="L18" s="196">
        <v>158</v>
      </c>
      <c r="M18" s="196">
        <v>149</v>
      </c>
      <c r="N18" s="196">
        <v>523</v>
      </c>
      <c r="O18" s="196">
        <v>0</v>
      </c>
      <c r="P18" s="196">
        <v>11</v>
      </c>
      <c r="Q18" s="196">
        <v>13</v>
      </c>
      <c r="R18" s="196">
        <v>11</v>
      </c>
      <c r="S18" s="196">
        <v>112</v>
      </c>
      <c r="T18" s="196">
        <v>848</v>
      </c>
      <c r="U18" s="196">
        <v>691</v>
      </c>
      <c r="V18" s="196">
        <v>124</v>
      </c>
      <c r="W18" s="196">
        <v>183</v>
      </c>
      <c r="X18" s="202">
        <v>278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848</v>
      </c>
      <c r="BA18" s="139">
        <f t="shared" si="15"/>
        <v>691</v>
      </c>
      <c r="BB18" s="139">
        <f t="shared" si="15"/>
        <v>124</v>
      </c>
      <c r="BC18" s="135">
        <f>IF(ISNUMBER(W18),W18," - ")</f>
        <v>183</v>
      </c>
      <c r="BD18" s="136">
        <f>IF(ISNUMBER(BA18/AZ18),BA18/AZ18," - ")</f>
        <v>0.81485849056603776</v>
      </c>
      <c r="BE18" s="137">
        <f>IF(ISNUMBER(BB18/BA18),BB18/BA18, " - ")</f>
        <v>0.17945007235890015</v>
      </c>
      <c r="BF18" s="137">
        <f>IF(ISNUMBER(BC18/BA18),BC18/BA18, " - ")</f>
        <v>0.26483357452966716</v>
      </c>
      <c r="BG18" s="209">
        <f>IF(ISNUMBER((AY18+AZ18)/BA18),(AY18+AZ18)/BA18," - ")</f>
        <v>1.3892908827785817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1050</v>
      </c>
      <c r="J23" s="197">
        <f t="shared" si="21"/>
        <v>7264</v>
      </c>
      <c r="K23" s="197">
        <f t="shared" si="21"/>
        <v>6849</v>
      </c>
      <c r="L23" s="197">
        <f t="shared" si="21"/>
        <v>1461</v>
      </c>
      <c r="M23" s="197">
        <f t="shared" si="21"/>
        <v>1042</v>
      </c>
      <c r="N23" s="197">
        <f t="shared" si="21"/>
        <v>4086</v>
      </c>
      <c r="O23" s="197">
        <f t="shared" si="21"/>
        <v>15</v>
      </c>
      <c r="P23" s="197">
        <f t="shared" si="21"/>
        <v>168</v>
      </c>
      <c r="Q23" s="197">
        <f t="shared" si="21"/>
        <v>187</v>
      </c>
      <c r="R23" s="197">
        <f t="shared" si="21"/>
        <v>150</v>
      </c>
      <c r="S23" s="197">
        <f t="shared" si="21"/>
        <v>1575</v>
      </c>
      <c r="T23" s="197">
        <f t="shared" si="21"/>
        <v>6511</v>
      </c>
      <c r="U23" s="197">
        <f t="shared" si="21"/>
        <v>6588</v>
      </c>
      <c r="V23" s="197">
        <f t="shared" si="21"/>
        <v>1050</v>
      </c>
      <c r="W23" s="197">
        <f t="shared" si="21"/>
        <v>1051</v>
      </c>
      <c r="X23" s="197">
        <f t="shared" si="21"/>
        <v>3843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1575</v>
      </c>
      <c r="AZ23" s="197">
        <f>SUBTOTAL(9,AZ15:AZ22)</f>
        <v>6511</v>
      </c>
      <c r="BA23" s="197">
        <f>SUBTOTAL(9,BA15:BA22)</f>
        <v>6588</v>
      </c>
      <c r="BB23" s="197">
        <f>SUBTOTAL(9,BB15:BB22)</f>
        <v>1050</v>
      </c>
      <c r="BC23" s="197">
        <f>SUBTOTAL(9,BC15:BC22)</f>
        <v>1051</v>
      </c>
      <c r="BD23" s="219">
        <f>IF(ISNUMBER(BA23/AZ23),BA23/AZ23," - ")</f>
        <v>1.0118261403778221</v>
      </c>
      <c r="BE23" s="220">
        <f>IF(ISNUMBER(BB23/BA23),BB23/BA23, " - ")</f>
        <v>0.15938069216757741</v>
      </c>
      <c r="BF23" s="220">
        <f>IF(ISNUMBER(BC23/BA23),BC23/BA23, " - ")</f>
        <v>0.15953248330297512</v>
      </c>
      <c r="BG23" s="221">
        <f>IF(ISNUMBER((AY23+AZ23)/BA23),(AY23+AZ23)/BA23," - ")</f>
        <v>1.2273831208257437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6095</v>
      </c>
      <c r="J31" s="144">
        <f t="shared" si="36"/>
        <v>12302</v>
      </c>
      <c r="K31" s="144">
        <f t="shared" si="36"/>
        <v>12387</v>
      </c>
      <c r="L31" s="144">
        <f t="shared" si="36"/>
        <v>5950</v>
      </c>
      <c r="M31" s="144">
        <f t="shared" si="36"/>
        <v>2058</v>
      </c>
      <c r="N31" s="144">
        <f t="shared" si="36"/>
        <v>6759</v>
      </c>
      <c r="O31" s="144">
        <f t="shared" si="36"/>
        <v>2022</v>
      </c>
      <c r="P31" s="144">
        <f t="shared" si="36"/>
        <v>1685</v>
      </c>
      <c r="Q31" s="144">
        <f t="shared" si="36"/>
        <v>1504</v>
      </c>
      <c r="R31" s="144">
        <f t="shared" si="36"/>
        <v>6607</v>
      </c>
      <c r="S31" s="144">
        <f t="shared" si="36"/>
        <v>7511</v>
      </c>
      <c r="T31" s="144">
        <f t="shared" si="36"/>
        <v>11761</v>
      </c>
      <c r="U31" s="144">
        <f t="shared" si="36"/>
        <v>12772</v>
      </c>
      <c r="V31" s="144">
        <f t="shared" si="36"/>
        <v>6095</v>
      </c>
      <c r="W31" s="144">
        <f t="shared" si="36"/>
        <v>2226</v>
      </c>
      <c r="X31" s="144">
        <f t="shared" si="36"/>
        <v>6586</v>
      </c>
      <c r="Y31" s="144">
        <f t="shared" si="36"/>
        <v>88</v>
      </c>
      <c r="Z31" s="144">
        <f t="shared" si="36"/>
        <v>327</v>
      </c>
      <c r="AA31" s="144">
        <f t="shared" si="36"/>
        <v>270</v>
      </c>
      <c r="AB31" s="144">
        <f t="shared" si="36"/>
        <v>142</v>
      </c>
      <c r="AC31" s="144">
        <f t="shared" si="36"/>
        <v>0</v>
      </c>
      <c r="AD31" s="144">
        <f t="shared" si="36"/>
        <v>0</v>
      </c>
      <c r="AE31" s="144">
        <f t="shared" si="36"/>
        <v>0</v>
      </c>
      <c r="AF31" s="144">
        <f t="shared" si="36"/>
        <v>0</v>
      </c>
      <c r="AG31" s="144">
        <f t="shared" si="36"/>
        <v>124</v>
      </c>
      <c r="AH31" s="144">
        <f t="shared" si="36"/>
        <v>382</v>
      </c>
      <c r="AI31" s="144">
        <f t="shared" si="36"/>
        <v>443</v>
      </c>
      <c r="AJ31" s="144">
        <f t="shared" si="36"/>
        <v>88</v>
      </c>
      <c r="AK31" s="144">
        <f t="shared" si="36"/>
        <v>1</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7635</v>
      </c>
      <c r="AZ31" s="144">
        <f>SUBTOTAL(9,AZ9:AZ30)</f>
        <v>12143</v>
      </c>
      <c r="BA31" s="144">
        <f>SUBTOTAL(9,BA9:BA30)</f>
        <v>13215</v>
      </c>
      <c r="BB31" s="144">
        <f>SUBTOTAL(9,BB9:BB30)</f>
        <v>6183</v>
      </c>
      <c r="BC31" s="145">
        <f>SUBTOTAL(9,BC9:BC30)</f>
        <v>3803</v>
      </c>
      <c r="BD31" s="227">
        <f>IF(ISNUMBER(BA31/AZ31),BA31/AZ31," - ")</f>
        <v>1.0882813143374783</v>
      </c>
      <c r="BE31" s="224">
        <f>IF(ISNUMBER(BB31/BA31),BB31/BA31, " - ")</f>
        <v>0.46787741203178207</v>
      </c>
      <c r="BF31" s="224">
        <f>IF(ISNUMBER(BC31/BA31),BC31/BA31, " - ")</f>
        <v>0.28777903897086643</v>
      </c>
      <c r="BG31" s="145">
        <f>IF(ISNUMBER((AY31+AZ31)/BA31),(AY31+AZ31)/BA31," - ")</f>
        <v>1.4966326144532729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2CvPEIGF3vbJnCRAG07W25sK8zyNnUEO5cTPxBR7RTTsWyJUaoROm9zpFlTWIT1T5mLK40q/l6JPona/TO4g==" saltValue="UovfnAsxSIj98OSO5Gxm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NLcgQvq94wyYCgBxhfMIOcUlvmiclNbtgCEoet7G6nVZK+Jn1j8c60iDtS1Q5H9nQLCBSUSL2Lmgwm191/jYw==" saltValue="GSFuyX3yj3vf7xWQFZHM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ROQUETAS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192</v>
      </c>
      <c r="G10" s="543">
        <f>IF(ISNUMBER(Datos!I10),Datos!I10," - ")</f>
        <v>178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146</v>
      </c>
      <c r="AC10" s="547">
        <f>IF(ISNUMBER(Datos!Q10),Datos!Q10," - ")</f>
        <v>13</v>
      </c>
      <c r="AD10" s="549"/>
      <c r="AE10" s="563"/>
      <c r="AF10" s="551">
        <f>IF(ISNUMBER(Datos!L10),Datos!L10,"-")</f>
        <v>162</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65</v>
      </c>
      <c r="BD10" s="693">
        <f>IF(ISNUMBER(Datos!N10),Datos!N10," - ")</f>
        <v>67</v>
      </c>
      <c r="BE10" s="693" t="str">
        <f>IF(ISNUMBER(Datos!BW10),Datos!BW10," - ")</f>
        <v xml:space="preserve"> - </v>
      </c>
      <c r="BF10" s="762" t="str">
        <f>IF(ISNUMBER(Datos!BX10),Datos!BX10," - ")</f>
        <v xml:space="preserve"> - </v>
      </c>
      <c r="BG10" s="763">
        <f>IF(ISNUMBER(Datos!K10/Datos!J10),Datos!K10/Datos!J10," - ")</f>
        <v>1.2586206896551724</v>
      </c>
      <c r="BH10" s="764">
        <f>IF(ISNUMBER(((Datos!L10/Datos!K10)*11)/factor_trimestre),((Datos!L10/Datos!K10)*11)/factor_trimestre," - ")</f>
        <v>12.205479452054794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-0.22857142857142856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327</v>
      </c>
      <c r="O12" s="549"/>
      <c r="P12" s="549"/>
      <c r="Q12" s="547">
        <f>IF(ISNUMBER(Datos!P12),Datos!P12,0)</f>
        <v>1512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142</v>
      </c>
      <c r="AI12" s="549" t="str">
        <f>IF(ISNUMBER(Datos!CD12),Datos!CD12,"-")</f>
        <v>-</v>
      </c>
      <c r="AJ12" s="549" t="str">
        <f>IF(ISNUMBER(Datos!EN12),Datos!EN12," - ")</f>
        <v xml:space="preserve"> - </v>
      </c>
      <c r="AK12" s="549"/>
      <c r="AL12" s="550"/>
      <c r="AM12" s="766">
        <f>IF(ISNUMBER(Datos!R12),Datos!R12," - ")</f>
        <v>6430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951</v>
      </c>
      <c r="BD12" s="693">
        <f>IF(ISNUMBER(Datos!N12),Datos!N12," - ")</f>
        <v>2606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1.0786816536483139</v>
      </c>
      <c r="BH12" s="764">
        <f>IF(ISNUMBER(((IF(J_V="SI",Datos!L12/Datos!K12,(Datos!L12+Datos!AB12)/(Datos!K12+Datos!AA12)))*11)/factor_trimestre),((IF(J_V="SI",Datos!L12/Datos!K12,(Datos!L12+Datos!AB12)/(Datos!K12+Datos!AA12)))*11)/factor_trimestre," - ")</f>
        <v>8.6822677499116914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3.3429765348762457E-2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192</v>
      </c>
      <c r="G14" s="1197">
        <f t="shared" si="1"/>
        <v>178</v>
      </c>
      <c r="H14" s="1198">
        <f t="shared" si="1"/>
        <v>0</v>
      </c>
      <c r="I14" s="1197">
        <f t="shared" si="1"/>
        <v>0</v>
      </c>
      <c r="J14" s="1164">
        <f t="shared" si="1"/>
        <v>0</v>
      </c>
      <c r="K14" s="1164">
        <f t="shared" si="1"/>
        <v>0</v>
      </c>
      <c r="L14" s="1198">
        <f t="shared" si="1"/>
        <v>0</v>
      </c>
      <c r="M14" s="1198">
        <f t="shared" si="1"/>
        <v>0</v>
      </c>
      <c r="N14" s="1198">
        <f t="shared" si="1"/>
        <v>327</v>
      </c>
      <c r="O14" s="1199">
        <f t="shared" si="1"/>
        <v>0</v>
      </c>
      <c r="P14" s="1199">
        <f t="shared" si="1"/>
        <v>0</v>
      </c>
      <c r="Q14" s="1198">
        <f t="shared" si="1"/>
        <v>1517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146</v>
      </c>
      <c r="AC14" s="1198">
        <f t="shared" si="2"/>
        <v>1317</v>
      </c>
      <c r="AD14" s="1198">
        <f t="shared" si="2"/>
        <v>0</v>
      </c>
      <c r="AE14" s="1198">
        <f t="shared" si="2"/>
        <v>0</v>
      </c>
      <c r="AF14" s="1198">
        <f t="shared" si="2"/>
        <v>162</v>
      </c>
      <c r="AG14" s="1198">
        <f t="shared" si="2"/>
        <v>0</v>
      </c>
      <c r="AH14" s="1198">
        <f t="shared" si="2"/>
        <v>142</v>
      </c>
      <c r="AI14" s="1198">
        <f t="shared" si="2"/>
        <v>0</v>
      </c>
      <c r="AJ14" s="1198">
        <f t="shared" si="2"/>
        <v>0</v>
      </c>
      <c r="AK14" s="1198">
        <f t="shared" si="2"/>
        <v>0</v>
      </c>
      <c r="AL14" s="1198">
        <f t="shared" si="2"/>
        <v>0</v>
      </c>
      <c r="AM14" s="1198">
        <f t="shared" si="2"/>
        <v>6457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1016</v>
      </c>
      <c r="BD14" s="1198">
        <f t="shared" si="2"/>
        <v>2673</v>
      </c>
      <c r="BE14" s="1198">
        <f t="shared" si="2"/>
        <v>0</v>
      </c>
      <c r="BF14" s="1198">
        <f t="shared" si="2"/>
        <v>0</v>
      </c>
      <c r="BG14" s="1198">
        <f>IF(ISNUMBER(Datos!K14/Datos!J14),Datos!K14/Datos!J14," - ")</f>
        <v>1.0992457324335054</v>
      </c>
      <c r="BH14" s="1202">
        <f>IF(ISNUMBER(((Datos!L14/Datos!K14)*11)/factor_trimestre),((Datos!L14/Datos!K14)*11)/factor_trimestre," - ")</f>
        <v>8.9163958107620083</v>
      </c>
      <c r="BI14" s="1198">
        <f>IF(ISNUMBER('Resol  Asuntos'!D14/NºAsuntos!G14),'Resol  Asuntos'!D14/NºAsuntos!G14," - ")</f>
        <v>0.17493112947658401</v>
      </c>
      <c r="BJ14" s="1198" t="str">
        <f>IF(ISNUMBER(Datos!CI14/Datos!CJ14),Datos!CI14/Datos!CJ14," - ")</f>
        <v xml:space="preserve"> - </v>
      </c>
      <c r="BK14" s="1198">
        <f>SUBTOTAL(9,BK8:BK13)</f>
        <v>0</v>
      </c>
      <c r="BL14" s="1198">
        <f>IF(ISNUMBER((I14-AB14+L14)/(F14)),(I14-AB14+L14)/(F14)," - ")</f>
        <v>-0.76041666666666663</v>
      </c>
      <c r="BM14" s="1203">
        <f>SUBTOTAL(9,BM9:BM13)</f>
        <v>-0.1951416632226661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866</v>
      </c>
      <c r="G17" s="743">
        <f>IF(ISNUMBER(IF(D_I="SI",Datos!I17,Datos!I17+Datos!AC17)),IF(D_I="SI",Datos!I17,Datos!I17+Datos!AC17)," - ")</f>
        <v>926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5815</v>
      </c>
      <c r="AC17" s="240">
        <f>IF(ISNUMBER(Datos!Q17),Datos!Q17," - ")</f>
        <v>174</v>
      </c>
      <c r="AD17" s="374"/>
      <c r="AE17" s="562"/>
      <c r="AF17" s="741">
        <f>IF(ISNUMBER(IF(D_I="SI",Datos!L17,Datos!L17+Datos!AF17)),IF(D_I="SI",Datos!L17,Datos!L17+Datos!AF17)," - ")</f>
        <v>1303</v>
      </c>
      <c r="AG17" s="374"/>
      <c r="AH17" s="374"/>
      <c r="AI17" s="374"/>
      <c r="AJ17" s="549"/>
      <c r="AK17" s="374"/>
      <c r="AL17" s="545"/>
      <c r="AM17" s="375">
        <f>IF(ISNUMBER(Datos!R17),Datos!R17," - ")</f>
        <v>139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893</v>
      </c>
      <c r="BD17" s="243">
        <f>IF(ISNUMBER(Datos!N17),Datos!N17," - ")</f>
        <v>3563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0.93010236724248241</v>
      </c>
      <c r="BH17" s="764">
        <f>IF(ISNUMBER(((IF(D_I="SI",Datos!L17/Datos!K17,(Datos!L17+Datos!AF17)/(Datos!K17+Datos!AE17)))*11)/factor_trimestre),((IF(D_I="SI",Datos!L17/Datos!K17,(Datos!L17+Datos!AF17)/(Datos!K17+Datos!AE17)))*11)/factor_trimestre," - ")</f>
        <v>2.4648323301805672</v>
      </c>
      <c r="BI17" s="266">
        <f>IF(ISNUMBER('Resol  Asuntos'!D17/NºAsuntos!G17),'Resol  Asuntos'!D17/NºAsuntos!G17," - ")</f>
        <v>0.15356835769561478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1034</v>
      </c>
      <c r="AC18" s="547">
        <f>IF(ISNUMBER(Datos!Q18),Datos!Q18," - ")</f>
        <v>13</v>
      </c>
      <c r="AD18" s="549"/>
      <c r="AE18" s="562"/>
      <c r="AF18" s="551">
        <f>IF(ISNUMBER(Datos!L18),Datos!L18,"-")</f>
        <v>158</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149</v>
      </c>
      <c r="BD18" s="693">
        <f>IF(ISNUMBER(Datos!N18),Datos!N18," - ")</f>
        <v>523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1.0217391304347827</v>
      </c>
      <c r="BH18" s="764">
        <f>IF(ISNUMBER(((IF(D_I="SI",Datos!L18/Datos!K18,(Datos!L18+Datos!AF18)/(Datos!K18+Datos!AE18)))*11)/factor_trimestre),((IF(D_I="SI",Datos!L18/Datos!K18,(Datos!L18+Datos!AF18)/(Datos!K18+Datos!AE18)))*11)/factor_trimestre," - ")</f>
        <v>1.6808510638297871</v>
      </c>
      <c r="BI18" s="763">
        <f>IF(ISNUMBER('Resol  Asuntos'!D18/NºAsuntos!G18),'Resol  Asuntos'!D18/NºAsuntos!G18," - ")</f>
        <v>0.14410058027079303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866</v>
      </c>
      <c r="G23" s="1197">
        <f>SUBTOTAL(9,G16:G22)</f>
        <v>1050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6849</v>
      </c>
      <c r="AC23" s="1198">
        <f t="shared" si="5"/>
        <v>187</v>
      </c>
      <c r="AD23" s="1198">
        <f t="shared" si="5"/>
        <v>0</v>
      </c>
      <c r="AE23" s="1198">
        <f t="shared" si="5"/>
        <v>0</v>
      </c>
      <c r="AF23" s="1198">
        <f t="shared" si="5"/>
        <v>1461</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1042</v>
      </c>
      <c r="BD23" s="1198">
        <f t="shared" si="5"/>
        <v>4086</v>
      </c>
      <c r="BE23" s="1198">
        <f t="shared" si="5"/>
        <v>0</v>
      </c>
      <c r="BF23" s="1198">
        <f t="shared" si="5"/>
        <v>0</v>
      </c>
      <c r="BG23" s="1198">
        <f>IF(ISNUMBER(Datos!K23/Datos!J23),Datos!K23/Datos!J23," - ")</f>
        <v>0.94286894273127753</v>
      </c>
      <c r="BH23" s="1202">
        <f>IF(ISNUMBER(((Datos!L23/Datos!K23)*11)/factor_trimestre),((Datos!L23/Datos!K23)*11)/factor_trimestre," - ")</f>
        <v>2.3464739378011386</v>
      </c>
      <c r="BI23" s="1198">
        <f>SUBTOTAL(9,BI16:BI22)</f>
        <v>0.29766893796640781</v>
      </c>
      <c r="BJ23" s="1198">
        <f>SUBTOTAL(9,BJ16:BJ22)</f>
        <v>0</v>
      </c>
      <c r="BK23" s="1198">
        <f>SUBTOTAL(9,BK16:BK22)</f>
        <v>0</v>
      </c>
      <c r="BL23" s="1198">
        <f>IF(ISNUMBER((I23-AB23+L23)/(F23)),(I23-AB23+L23)/(F23)," - ")</f>
        <v>-7.9087759815242498</v>
      </c>
      <c r="BM23" s="1205">
        <f>IF(ISNUMBER((Datos!P23-Datos!Q23)/(Datos!R23-Datos!P23+Datos!Q23)),(Datos!P23-Datos!Q23)/(Datos!R23-Datos!P23+Datos!Q23)," - ")</f>
        <v>-0.11242603550295859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1058</v>
      </c>
      <c r="G31" s="1117">
        <f t="shared" si="18"/>
        <v>1228</v>
      </c>
      <c r="H31" s="1119">
        <f t="shared" si="18"/>
        <v>0</v>
      </c>
      <c r="I31" s="1117">
        <f t="shared" si="18"/>
        <v>0</v>
      </c>
      <c r="J31" s="1119">
        <f t="shared" si="18"/>
        <v>0</v>
      </c>
      <c r="K31" s="1119">
        <f t="shared" si="18"/>
        <v>0</v>
      </c>
      <c r="L31" s="1180">
        <f t="shared" si="18"/>
        <v>0</v>
      </c>
      <c r="M31" s="1180">
        <f t="shared" si="18"/>
        <v>0</v>
      </c>
      <c r="N31" s="1180">
        <f t="shared" si="18"/>
        <v>327</v>
      </c>
      <c r="O31" s="1180">
        <f t="shared" si="18"/>
        <v>0</v>
      </c>
      <c r="P31" s="1180">
        <f t="shared" si="18"/>
        <v>0</v>
      </c>
      <c r="Q31" s="1119">
        <f t="shared" si="18"/>
        <v>1685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6995</v>
      </c>
      <c r="AC31" s="1118">
        <f t="shared" si="19"/>
        <v>1504</v>
      </c>
      <c r="AD31" s="1118">
        <f t="shared" si="19"/>
        <v>0</v>
      </c>
      <c r="AE31" s="1118">
        <f t="shared" si="19"/>
        <v>0</v>
      </c>
      <c r="AF31" s="1125">
        <f t="shared" si="19"/>
        <v>1623</v>
      </c>
      <c r="AG31" s="1125">
        <f t="shared" si="19"/>
        <v>0</v>
      </c>
      <c r="AH31" s="1125">
        <f t="shared" si="19"/>
        <v>142</v>
      </c>
      <c r="AI31" s="1125">
        <f t="shared" si="19"/>
        <v>0</v>
      </c>
      <c r="AJ31" s="1118">
        <f t="shared" si="19"/>
        <v>0</v>
      </c>
      <c r="AK31" s="1125">
        <f t="shared" si="19"/>
        <v>0</v>
      </c>
      <c r="AL31" s="1125">
        <f t="shared" si="19"/>
        <v>0</v>
      </c>
      <c r="AM31" s="1125">
        <f t="shared" si="19"/>
        <v>6607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2058</v>
      </c>
      <c r="BD31" s="1117">
        <f t="shared" si="19"/>
        <v>6759</v>
      </c>
      <c r="BE31" s="1117">
        <f t="shared" si="19"/>
        <v>0</v>
      </c>
      <c r="BF31" s="1127">
        <f t="shared" si="19"/>
        <v>0</v>
      </c>
      <c r="BG31" s="1223">
        <f>IF(ISNUMBER(Datos!K31/Datos!J31),Datos!K31/Datos!J31," - ")</f>
        <v>1.0069094456185985</v>
      </c>
      <c r="BH31" s="1223">
        <f>IF(ISNUMBER(((Datos!L31/Datos!K31)*11)/factor_trimestre),((Datos!L31/Datos!K31)*11)/factor_trimestre," - ")</f>
        <v>5.283765237749253</v>
      </c>
      <c r="BI31" s="1103">
        <f>IF(ISNUMBER(Datos!J31/Datos!I31),Datos!J31/Datos!I31," - ")</f>
        <v>2.0183757178014767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-6.6115311909262759</v>
      </c>
      <c r="BM31" s="1188">
        <f>IF(ISNUMBER((Datos!P31-Datos!Q31+R31)/(Datos!R31-Datos!P31+Datos!Q31-R31)),(Datos!P31-Datos!Q31+R31)/(Datos!R31-Datos!P31+Datos!Q31-R31)," - ")</f>
        <v>2.8166822284469345E-2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406.79167477551294</v>
      </c>
      <c r="G33" s="674">
        <f>IF(ISNUMBER(STDEV(G8:G30)),STDEV(G8:G30),"-")</f>
        <v>442.9098586136268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2996.5201961131993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496.93546577282763</v>
      </c>
      <c r="BD33" s="673"/>
      <c r="BE33" s="673">
        <f>IF(ISNUMBER(STDEV(BE8:BE30)),STDEV(BE8:BE30),"-")</f>
        <v>0</v>
      </c>
      <c r="BF33" s="678">
        <f>IF(ISNUMBER(STDEV(BF8:BF30)),STDEV(BF8:BF30),"-")</f>
        <v>0</v>
      </c>
      <c r="BG33" s="1052">
        <f>IF(ISNUMBER(STDEV(BG8:BG30)),STDEV(BG8:BG30),"-")</f>
        <v>0.12104437612170475</v>
      </c>
      <c r="BH33" s="1058">
        <f>IF(ISNUMBER(STDEV(BH8:BH30)),STDEV(BH8:BH30),"-")</f>
        <v>4.4428364452261411</v>
      </c>
      <c r="BI33" s="273">
        <f>IF(ISNUMBER(STDEV(BI8:BI30)),STDEV(BI8:BI30),"-")</f>
        <v>7.1244483379682672E-2</v>
      </c>
      <c r="BJ33" s="244" t="str">
        <f>IF(ISNUMBER(BL33/BM33),BL33/BM33," - ")</f>
        <v xml:space="preserve"> - </v>
      </c>
      <c r="BK33" s="709"/>
      <c r="BL33" s="681">
        <f>IF(ISNUMBER(STDEV(BL8:BL30)),STDEV(BL8:BL30),"-")</f>
        <v>5.0546533458938194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znG/cX3tYaKJS5Jp/QfHiWIV/KGkuWgZcM2Ih2FdClrPd46n7MGCshFVtihn6zEOqkV4GnisraX4fY3s17PA==" saltValue="km9XbOhovaTdA94QV+Pe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ROQUETAS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192</v>
      </c>
      <c r="G10" s="552">
        <f>IF(ISNUMBER(Datos!I10),Datos!I10," - ")</f>
        <v>178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146</v>
      </c>
      <c r="Z10" s="805">
        <f>IF(ISNUMBER(Datos!Q10),Datos!Q10," - ")</f>
        <v>13</v>
      </c>
      <c r="AA10" s="551">
        <f>IF(ISNUMBER(Datos!L10),Datos!L10,"-")</f>
        <v>162</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65</v>
      </c>
      <c r="AK10" s="693">
        <f>IF(ISNUMBER(Datos!N10),Datos!N10," - ")</f>
        <v>67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12.205479452054794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-0.22857142857142856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1304</v>
      </c>
      <c r="AA12" s="551" t="str">
        <f>IF(ISNUMBER(IF(J_V="SI",Datos!L12,Datos!L12+Datos!AB12)-IF(Monitorios="SI",Datos!CD12,0)),
                          IF(J_V="SI",Datos!L12,Datos!L12+Datos!AB12)-IF(Monitorios="SI",Datos!CD12,0),
                          " - ")</f>
        <v xml:space="preserve"> - </v>
      </c>
      <c r="AB12" s="549"/>
      <c r="AC12" s="549"/>
      <c r="AD12" s="563"/>
      <c r="AE12" s="563">
        <f>IF(ISNUMBER(Datos!R12),Datos!R12," - ")</f>
        <v>6430</v>
      </c>
      <c r="AF12" s="693" t="str">
        <f>IF(ISNUMBER(Datos!BV12),Datos!BV12," - ")</f>
        <v xml:space="preserve"> - </v>
      </c>
      <c r="AG12" s="552" t="str">
        <f>IF(ISNUMBER(Datos!DV12),Datos!DV12," - ")</f>
        <v xml:space="preserve"> - </v>
      </c>
      <c r="AH12" s="553"/>
      <c r="AI12" s="554"/>
      <c r="AJ12" s="552">
        <f>IF(ISNUMBER(Datos!M12),Datos!M12," - ")</f>
        <v>951</v>
      </c>
      <c r="AK12" s="693">
        <f>IF(ISNUMBER(Datos!N12),Datos!N12," - ")</f>
        <v>2606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8.6822677499116914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3.3429765348762457E-2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192</v>
      </c>
      <c r="G14" s="1197">
        <f>SUBTOTAL(9,G8:G13)</f>
        <v>178</v>
      </c>
      <c r="H14" s="1211"/>
      <c r="I14" s="1197">
        <f t="shared" ref="I14:N14" si="1">SUBTOTAL(9,I8:I13)</f>
        <v>0</v>
      </c>
      <c r="J14" s="1164">
        <f t="shared" si="1"/>
        <v>0</v>
      </c>
      <c r="K14" s="1211">
        <f t="shared" si="1"/>
        <v>0</v>
      </c>
      <c r="L14" s="1211">
        <f t="shared" si="1"/>
        <v>0</v>
      </c>
      <c r="M14" s="1211">
        <f t="shared" si="1"/>
        <v>0</v>
      </c>
      <c r="N14" s="1211">
        <f t="shared" si="1"/>
        <v>1517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146</v>
      </c>
      <c r="Z14" s="1210">
        <f t="shared" si="3"/>
        <v>1317</v>
      </c>
      <c r="AA14" s="1199">
        <f t="shared" si="3"/>
        <v>162</v>
      </c>
      <c r="AB14" s="1199">
        <f t="shared" si="3"/>
        <v>0</v>
      </c>
      <c r="AC14" s="1199">
        <f t="shared" si="3"/>
        <v>0</v>
      </c>
      <c r="AD14" s="1199">
        <f t="shared" si="3"/>
        <v>0</v>
      </c>
      <c r="AE14" s="1199">
        <f t="shared" si="3"/>
        <v>6457</v>
      </c>
      <c r="AF14" s="1211">
        <f t="shared" si="3"/>
        <v>0</v>
      </c>
      <c r="AG14" s="1211">
        <f t="shared" si="3"/>
        <v>0</v>
      </c>
      <c r="AH14" s="1211">
        <f t="shared" si="3"/>
        <v>0</v>
      </c>
      <c r="AI14" s="1211">
        <f t="shared" si="3"/>
        <v>0</v>
      </c>
      <c r="AJ14" s="1211">
        <f t="shared" si="3"/>
        <v>1016</v>
      </c>
      <c r="AK14" s="1211">
        <f t="shared" si="3"/>
        <v>2673</v>
      </c>
      <c r="AL14" s="1211">
        <f t="shared" si="3"/>
        <v>0</v>
      </c>
      <c r="AM14" s="1211">
        <f t="shared" si="3"/>
        <v>0</v>
      </c>
      <c r="AN14" s="1211">
        <f t="shared" si="3"/>
        <v>0</v>
      </c>
      <c r="AO14" s="1203">
        <f>IF(ISNUMBER(((NºAsuntos!I14/NºAsuntos!G14)*11)/factor_trimestre),((NºAsuntos!I14/NºAsuntos!G14)*11)/factor_trimestre," - ")</f>
        <v>8.7708333333333339</v>
      </c>
      <c r="AP14" s="1213" t="str">
        <f>IF(ISNUMBER(Datos!CI14/Datos!CJ14),Datos!CI14/Datos!CJ14," - ")</f>
        <v xml:space="preserve"> - </v>
      </c>
      <c r="AQ14" s="1236">
        <f t="shared" ref="AQ14:AV14" si="4">SUBTOTAL(9,AQ9:AQ13)</f>
        <v>0</v>
      </c>
      <c r="AR14" s="1236">
        <f t="shared" si="4"/>
        <v>-0.1951416632226661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866</v>
      </c>
      <c r="G17" s="552">
        <f>IF(ISNUMBER(IF(D_I="SI",Datos!I17,Datos!I17+Datos!AC17)),IF(D_I="SI",Datos!I17,Datos!I17+Datos!AC17)," - ")</f>
        <v>926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5815</v>
      </c>
      <c r="Z17" s="805">
        <f>IF(ISNUMBER(Datos!Q17),Datos!Q17," - ")</f>
        <v>174</v>
      </c>
      <c r="AA17" s="551">
        <f>IF(ISNUMBER(IF(D_I="SI",Datos!L17,Datos!L17+Datos!AF17)),IF(D_I="SI",Datos!L17,Datos!L17+Datos!AF17)," - ")</f>
        <v>1303</v>
      </c>
      <c r="AB17" s="549"/>
      <c r="AC17" s="549"/>
      <c r="AD17" s="563"/>
      <c r="AE17" s="563">
        <f>IF(ISNUMBER(Datos!R17),Datos!R17," - ")</f>
        <v>139</v>
      </c>
      <c r="AF17" s="693" t="str">
        <f>IF(ISNUMBER(Datos!BV17),Datos!BV17," - ")</f>
        <v xml:space="preserve"> - </v>
      </c>
      <c r="AG17" s="552"/>
      <c r="AH17" s="553"/>
      <c r="AI17" s="554"/>
      <c r="AJ17" s="552">
        <f>IF(ISNUMBER(Datos!M17),Datos!M17," - ")</f>
        <v>893</v>
      </c>
      <c r="AK17" s="693">
        <f>IF(ISNUMBER(Datos!N17),Datos!N17," - ")</f>
        <v>3563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2.4648323301805672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1034</v>
      </c>
      <c r="Z18" s="805">
        <f>IF(ISNUMBER(Datos!Q18),Datos!Q18," - ")</f>
        <v>13</v>
      </c>
      <c r="AA18" s="551">
        <f>IF(ISNUMBER(Datos!L18),Datos!L18,"-")</f>
        <v>158</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149</v>
      </c>
      <c r="AK18" s="693">
        <f>IF(ISNUMBER(Datos!N18),Datos!N18," - ")</f>
        <v>523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1.6808510638297871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866</v>
      </c>
      <c r="G23" s="1197">
        <f>SUBTOTAL(9,G16:G22)</f>
        <v>1050</v>
      </c>
      <c r="H23" s="1240">
        <f>SUBTOTAL(9,H16:H22)</f>
        <v>0</v>
      </c>
      <c r="I23" s="1217">
        <f>SUBTOTAL(9,I16:I22)</f>
        <v>0</v>
      </c>
      <c r="J23" s="1164">
        <f>SUBTOTAL(9,J15:J22)</f>
        <v>0</v>
      </c>
      <c r="K23" s="1240">
        <f t="shared" ref="K23:S23" si="5">SUBTOTAL(9,K16:K22)</f>
        <v>0</v>
      </c>
      <c r="L23" s="1240">
        <f t="shared" si="5"/>
        <v>0</v>
      </c>
      <c r="M23" s="1240">
        <f t="shared" si="5"/>
        <v>0</v>
      </c>
      <c r="N23" s="1240">
        <f t="shared" si="5"/>
        <v>168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6849</v>
      </c>
      <c r="Z23" s="1240">
        <f t="shared" si="6"/>
        <v>187</v>
      </c>
      <c r="AA23" s="1240">
        <f t="shared" si="6"/>
        <v>1461</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1042</v>
      </c>
      <c r="AK23" s="1240">
        <f t="shared" si="6"/>
        <v>4086</v>
      </c>
      <c r="AL23" s="1240">
        <f t="shared" si="6"/>
        <v>0</v>
      </c>
      <c r="AM23" s="1240">
        <f t="shared" si="6"/>
        <v>0</v>
      </c>
      <c r="AN23" s="1240">
        <f t="shared" si="6"/>
        <v>0</v>
      </c>
      <c r="AO23" s="1242">
        <f>IF(ISNUMBER(((NºAsuntos!I23/NºAsuntos!G23)*11)/factor_trimestre),((NºAsuntos!I23/NºAsuntos!G23)*11)/factor_trimestre," - ")</f>
        <v>2.3464739378011386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1058</v>
      </c>
      <c r="G31" s="1117">
        <f t="shared" si="12"/>
        <v>1228</v>
      </c>
      <c r="H31" s="1118">
        <f t="shared" si="12"/>
        <v>0</v>
      </c>
      <c r="I31" s="1117">
        <f t="shared" si="12"/>
        <v>0</v>
      </c>
      <c r="J31" s="1119">
        <f t="shared" si="12"/>
        <v>0</v>
      </c>
      <c r="K31" s="1117">
        <f t="shared" si="12"/>
        <v>0</v>
      </c>
      <c r="L31" s="1120">
        <f t="shared" si="12"/>
        <v>0</v>
      </c>
      <c r="M31" s="1117">
        <f t="shared" si="12"/>
        <v>0</v>
      </c>
      <c r="N31" s="1118">
        <f t="shared" si="12"/>
        <v>1685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6995</v>
      </c>
      <c r="Z31" s="1124">
        <f t="shared" si="13"/>
        <v>1504</v>
      </c>
      <c r="AA31" s="1125">
        <f t="shared" si="13"/>
        <v>1623</v>
      </c>
      <c r="AB31" s="1125">
        <f t="shared" si="13"/>
        <v>0</v>
      </c>
      <c r="AC31" s="1125">
        <f t="shared" si="13"/>
        <v>0</v>
      </c>
      <c r="AD31" s="1126">
        <f t="shared" si="13"/>
        <v>0</v>
      </c>
      <c r="AE31" s="1126">
        <f t="shared" si="13"/>
        <v>6607</v>
      </c>
      <c r="AF31" s="1127">
        <f t="shared" si="13"/>
        <v>0</v>
      </c>
      <c r="AG31" s="1128">
        <f t="shared" si="13"/>
        <v>0</v>
      </c>
      <c r="AH31" s="1129">
        <f t="shared" si="13"/>
        <v>0</v>
      </c>
      <c r="AI31" s="1127">
        <f t="shared" si="13"/>
        <v>0</v>
      </c>
      <c r="AJ31" s="1117">
        <f t="shared" si="13"/>
        <v>2058</v>
      </c>
      <c r="AK31" s="1117">
        <f t="shared" si="13"/>
        <v>6759</v>
      </c>
      <c r="AL31" s="1117">
        <f t="shared" si="13"/>
        <v>0</v>
      </c>
      <c r="AM31" s="1130">
        <f t="shared" si="13"/>
        <v>0</v>
      </c>
      <c r="AN31" s="1120">
        <f>IF(ISNUMBER(Datos!K31/Datos!J31),Datos!K31/Datos!J31," - ")</f>
        <v>1.0069094456185985</v>
      </c>
      <c r="AO31" s="1120">
        <f>IF(ISNUMBER(FIND("06",Criterios!A8,1)),(IF(ISNUMBER(((Datos!R31/Datos!Q31)*11)/factor_trimestre),((Datos!R31/Datos!Q31)*11)/factor_trimestre," - ")),(IF(ISNUMBER(((Datos!L31/Datos!K31)*11)/factor_trimestre),((Datos!L31/Datos!K31)*11)/factor_trimestre," - ")))</f>
        <v>5.283765237749253</v>
      </c>
      <c r="AP31" s="1131" t="str">
        <f>IF(ISNUMBER(Datos!CI31/Datos!CJ31),Datos!CI31/Datos!CJ31," - ")</f>
        <v xml:space="preserve"> - </v>
      </c>
      <c r="AQ31" s="1131">
        <f>IF(OR(ISNUMBER(FIND("01",Criterios!A8,1)),ISNUMBER(FIND("02",Criterios!A8,1)),ISNUMBER(FIND("03",Criterios!A8,1)),ISNUMBER(FIND("04",Criterios!A8,1))),(J31-Y31+K31)/(F31-K31),(I31-Y31+K31)/(F31-K31))</f>
        <v>-6.6115311909262759</v>
      </c>
      <c r="AR31" s="1131">
        <f>IF(ISNUMBER((Datos!P31-Datos!Q31+O31)/(Datos!R31-Datos!P31+Datos!Q31-O31)),(Datos!P31-Datos!Q31+O31)/(Datos!R31-Datos!P31+Datos!Q31-O31)," - ")</f>
        <v>2.8166822284469345E-2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406.79167477551294</v>
      </c>
      <c r="G33" s="674">
        <f>IF(ISNUMBER(STDEV(G8:G30)),STDEV(G8:G30),"-")</f>
        <v>442.9098586136268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496.93546577282763</v>
      </c>
      <c r="AK33" s="276"/>
      <c r="AL33" s="276">
        <f>IF(ISNUMBER(STDEV(AL8:AL30)),STDEV(AL8:AL30),"-")</f>
        <v>0</v>
      </c>
      <c r="AM33" s="278">
        <f>IF(ISNUMBER(STDEV(AM8:AM30)),STDEV(AM8:AM30),"-")</f>
        <v>0</v>
      </c>
      <c r="AN33" s="660">
        <f>IF(ISNUMBER(STDEV(AN8:AN30)),STDEV(AN8:AN30),"-")</f>
        <v>0</v>
      </c>
      <c r="AO33" s="661">
        <f>IF(ISNUMBER(STDEV(AO8:AO30)),STDEV(AO8:AO30),"-")</f>
        <v>4.4244090354041168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SnLIyJCDgglD0mWVvq2rmRoExzDh7eGYBwqHez4Zl2q2AZfa+Imj8LxoTSIaesXtmfwuH3JxXzrJ/n8y2n4CA==" saltValue="gBkGWOy9vTii+B28bAHS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5g7xEDfh+BF+Z9mbrjD5fqkiPE/luXm0x3B3KW3NHZ/ZQMiWrimJwOOwrTWtpg2EWPt6hTOKzieZ84pw3FqYA==" saltValue="NakmjgoIOM2Qr735amiD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A7tOw6XXvKvtrl0DboAcqWeppOV2sKpEIft/HBsdi7s5lix2J26huEAeKwbWgDUO+w+ikfHdg8pV7OI429iA==" saltValue="R3j0V6tRepPrREodplL0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ROQUETAS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0.17493112947658401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0.1236949878935145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qpNzmComhpOTW9STkT+ydCdMlyETex8yq7uDQFbIV/lP0rMAY/XhLKUAaoMaOTbUadEjkgy40QPAqUFuAShCA==" saltValue="jtuW2QmAH+RmKqtJqc+W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FS28KBVhA8+c8KgrOeDj6R9weD4jS2wyWOpDuJwX+zs79hXthmaz0a/ShlAc0Cj1nHJy949XdOUQXrF2s5UMg==" saltValue="IOqdbXVmxdUABaMfLwvq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ROQUETAS DE MAR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178</v>
      </c>
      <c r="D10" s="452">
        <f>IF(ISNUMBER(C10/Datos!BH10),C10/Datos!BH10," - ")</f>
        <v>178</v>
      </c>
      <c r="E10" s="451">
        <f>IF(ISNUMBER(Datos!J10),Datos!J10," - ")</f>
        <v>116</v>
      </c>
      <c r="F10" s="452">
        <f>IF(ISNUMBER(E10/B10),E10/B10," - ")</f>
        <v>116</v>
      </c>
      <c r="G10" s="451">
        <f>IF(ISNUMBER(Datos!K10),Datos!K10," - ")</f>
        <v>146</v>
      </c>
      <c r="H10" s="452">
        <f>IF(ISNUMBER(G10/B10),G10/B10," - ")</f>
        <v>146</v>
      </c>
      <c r="I10" s="451">
        <f>IF(ISNUMBER(Datos!L10),Datos!L10," - ")</f>
        <v>162</v>
      </c>
      <c r="J10" s="452">
        <f>IF(ISNUMBER(I10/B10),I10/B10," - ")</f>
        <v>162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4955</v>
      </c>
      <c r="D12" s="452">
        <f>IF(ISNUMBER(C12/Datos!BH12),C12/Datos!BH12," - ")</f>
        <v>825.83333333333337</v>
      </c>
      <c r="E12" s="451">
        <f>IF(ISNUMBER(IF(J_V="SI",Datos!J12,Datos!J12+Datos!Z12)),IF(J_V="SI",Datos!J12,Datos!J12+Datos!Z12)," - ")</f>
        <v>5249</v>
      </c>
      <c r="F12" s="452">
        <f>IF(ISNUMBER(E12/B12),E12/B12," - ")</f>
        <v>874.83333333333337</v>
      </c>
      <c r="G12" s="451">
        <f>IF(ISNUMBER(IF(J_V="SI",Datos!K12,Datos!K12+Datos!AA12)),IF(J_V="SI",Datos!K12,Datos!K12+Datos!AA12)," - ")</f>
        <v>5662</v>
      </c>
      <c r="H12" s="452">
        <f>IF(ISNUMBER(G12/B12),G12/B12," - ")</f>
        <v>943.66666666666663</v>
      </c>
      <c r="I12" s="451">
        <f>IF(ISNUMBER(IF(J_V="SI",Datos!L12,Datos!L12+Datos!AB12)),IF(J_V="SI",Datos!L12,Datos!L12+Datos!AB12)," - ")</f>
        <v>4469</v>
      </c>
      <c r="J12" s="452">
        <f>IF(ISNUMBER(I12/B12),I12/B12," - ")</f>
        <v>744.83333333333337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5133</v>
      </c>
      <c r="D14" s="1147" t="str">
        <f>IF(ISNUMBER(C14/Datos!BI14),C14/Datos!BI14," - ")</f>
        <v xml:space="preserve"> - </v>
      </c>
      <c r="E14" s="1146">
        <f>SUBTOTAL(9,E8:E13)</f>
        <v>5365</v>
      </c>
      <c r="F14" s="1147">
        <f>IF(ISNUMBER(E14/B14),E14/B14," - ")</f>
        <v>894.16666666666663</v>
      </c>
      <c r="G14" s="1146">
        <f>SUBTOTAL(9,G8:G13)</f>
        <v>5808</v>
      </c>
      <c r="H14" s="1147">
        <f>IF(ISNUMBER(G14/B14),G14/B14," - ")</f>
        <v>968</v>
      </c>
      <c r="I14" s="1146">
        <f>SUBTOTAL(9,I8:I13)</f>
        <v>4631</v>
      </c>
      <c r="J14" s="1147">
        <f>IF(ISNUMBER(I14/B14),I14/B14," - ")</f>
        <v>771.83333333333337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926</v>
      </c>
      <c r="D17" s="452">
        <f>IF(ISNUMBER(C17/Datos!BH17),C17/Datos!BH17," - ")</f>
        <v>154.33333333333334</v>
      </c>
      <c r="E17" s="451">
        <f>IF(ISNUMBER(IF(D_I="SI",Datos!J17,Datos!J17+Datos!AD17)),IF(D_I="SI",Datos!J17,Datos!J17+Datos!AD17)," - ")</f>
        <v>6252</v>
      </c>
      <c r="F17" s="452">
        <f>IF(ISNUMBER(E17/B17),E17/B17," - ")</f>
        <v>1042</v>
      </c>
      <c r="G17" s="451">
        <f>IF(ISNUMBER(IF(D_I="SI",Datos!K17,Datos!K17+Datos!AE17)),IF(D_I="SI",Datos!K17,Datos!K17+Datos!AE17)," - ")</f>
        <v>5815</v>
      </c>
      <c r="H17" s="452">
        <f>IF(ISNUMBER(G17/B17),G17/B17," - ")</f>
        <v>969.16666666666663</v>
      </c>
      <c r="I17" s="451">
        <f>IF(ISNUMBER(IF(D_I="SI",Datos!L17,Datos!L17+Datos!AF17)),IF(D_I="SI",Datos!L17,Datos!L17+Datos!AF17)," - ")</f>
        <v>1303</v>
      </c>
      <c r="J17" s="452">
        <f>IF(ISNUMBER(I17/B17),I17/B17," - ")</f>
        <v>217.16666666666666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1012</v>
      </c>
      <c r="F18" s="452">
        <f>IF(ISNUMBER(E18/B18),E18/B18," - ")</f>
        <v>1012</v>
      </c>
      <c r="G18" s="451">
        <f>IF(ISNUMBER(IF(D_I="SI",Datos!K18,Datos!K18+Datos!AE18)),IF(D_I="SI",Datos!K18,Datos!K18+Datos!AE18)," - ")</f>
        <v>1034</v>
      </c>
      <c r="H18" s="452">
        <f>IF(ISNUMBER(G18/B18),G18/B18," - ")</f>
        <v>1034</v>
      </c>
      <c r="I18" s="451">
        <f>IF(ISNUMBER(IF(D_I="SI",Datos!L18,Datos!L18+Datos!AF18)),IF(D_I="SI",Datos!L18,Datos!L18+Datos!AF18)," - ")</f>
        <v>158</v>
      </c>
      <c r="J18" s="452">
        <f>IF(ISNUMBER(I18/B18),I18/B18," - ")</f>
        <v>158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1050</v>
      </c>
      <c r="D23" s="1147" t="str">
        <f>IF(ISNUMBER(C23/Datos!BI23),C23/Datos!BI23," - ")</f>
        <v xml:space="preserve"> - </v>
      </c>
      <c r="E23" s="1146">
        <f>SUBTOTAL(9,E15:E22)</f>
        <v>7264</v>
      </c>
      <c r="F23" s="1147">
        <f>IF(ISNUMBER(E23/B23),E23/B23," - ")</f>
        <v>1210.6666666666667</v>
      </c>
      <c r="G23" s="1146">
        <f>SUBTOTAL(9,G15:G22)</f>
        <v>6849</v>
      </c>
      <c r="H23" s="1147">
        <f>IF(ISNUMBER(G23/B23),G23/B23," - ")</f>
        <v>1141.5</v>
      </c>
      <c r="I23" s="1146">
        <f>SUBTOTAL(9,I15:I22)</f>
        <v>1461</v>
      </c>
      <c r="J23" s="1147">
        <f>IF(ISNUMBER(I23/B23),I23/B23," - ")</f>
        <v>243.5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6183</v>
      </c>
      <c r="D31" s="1085" t="str">
        <f>IF(ISNUMBER(C31/Datos!BI31),C31/Datos!BI31," - ")</f>
        <v xml:space="preserve"> - </v>
      </c>
      <c r="E31" s="1084">
        <f>SUBTOTAL(9,E9:E30)</f>
        <v>12629</v>
      </c>
      <c r="F31" s="1085">
        <f>IF(ISNUMBER(E31/B31),E31/B31," - ")</f>
        <v>2104.8333333333335</v>
      </c>
      <c r="G31" s="1084">
        <f>SUBTOTAL(9,G9:G30)</f>
        <v>12657</v>
      </c>
      <c r="H31" s="1085">
        <f>IF(ISNUMBER(G31/B31),G31/B31," - ")</f>
        <v>2109.5</v>
      </c>
      <c r="I31" s="1084">
        <f>SUBTOTAL(9,I9:I30)</f>
        <v>6092</v>
      </c>
      <c r="J31" s="1085">
        <f>IF(ISNUMBER(I31/B31),I31/B31," - ")</f>
        <v>1015.3333333333334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MQb3qqmtjfLSJn7+QA6Hxn9s5uxIDbmO3hXVQljrmZEDFugbyGZ7RcdVHbvzy3OmEsjYwVrB9Y6LoMmIHyF3A==" saltValue="Hn2rW3f1+TN6LEz0Gg6p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ROQUETAS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192</v>
      </c>
      <c r="G10" s="906">
        <f>IF(ISNUMBER(Datos!I10),Datos!I10," - ")</f>
        <v>178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146</v>
      </c>
      <c r="AC10" s="905" t="str">
        <f>IF(ISNUMBER(IF(D_I="SI",DatosP!K18,DatosP!K18+DatosP!AE18)),IF(D_I="SI",DatosP!K18,DatosP!K18+DatosP!AE18)," - ")</f>
        <v xml:space="preserve"> - </v>
      </c>
      <c r="AD10" s="907"/>
      <c r="AE10" s="907"/>
      <c r="AF10" s="910">
        <f>IF(ISNUMBER(Datos!L10),Datos!L10,"-")</f>
        <v>162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65</v>
      </c>
      <c r="AM10" s="914">
        <f>IF(ISNUMBER(Datos!N10+DatosP!N18),Datos!N10+DatosP!N18," - ")</f>
        <v>67</v>
      </c>
      <c r="AN10" s="914">
        <f>IF(ISNUMBER(Datos!BW10+DatosP!BW18),Datos!BW10+DatosP!BW18," - ")</f>
        <v>0</v>
      </c>
      <c r="AO10" s="915">
        <f>IF(ISNUMBER(Datos!BX10+DatosP!BX18),Datos!BX10+DatosP!BX18," - ")</f>
        <v>0</v>
      </c>
      <c r="AP10" s="917">
        <f>IF(ISNUMBER(((Datos!L10/Datos!K10)*11)/factor_trimestre),((Datos!L10/Datos!K10)*11)/factor_trimestre," - ")</f>
        <v>12.205479452054794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951</v>
      </c>
      <c r="AM12" s="914">
        <f>IF(ISNUMBER(Datos!N12+DatosP!N17),Datos!N12+DatosP!N17," - ")</f>
        <v>2606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8.6822677499116914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3.3429765348762457E-2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192</v>
      </c>
      <c r="G14" s="1256">
        <f t="shared" si="0"/>
        <v>178</v>
      </c>
      <c r="H14" s="1256">
        <f t="shared" si="0"/>
        <v>0</v>
      </c>
      <c r="I14" s="1258">
        <f t="shared" si="0"/>
        <v>0</v>
      </c>
      <c r="J14" s="1257">
        <f t="shared" si="0"/>
        <v>0</v>
      </c>
      <c r="K14" s="1257">
        <f t="shared" si="0"/>
        <v>0</v>
      </c>
      <c r="L14" s="1259">
        <f t="shared" si="0"/>
        <v>0</v>
      </c>
      <c r="M14" s="1259">
        <f t="shared" si="0"/>
        <v>0</v>
      </c>
      <c r="N14" s="1257">
        <f t="shared" si="0"/>
        <v>1517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146</v>
      </c>
      <c r="AC14" s="1257">
        <f t="shared" si="1"/>
        <v>0</v>
      </c>
      <c r="AD14" s="1257">
        <f t="shared" si="1"/>
        <v>1304</v>
      </c>
      <c r="AE14" s="1257">
        <f t="shared" si="1"/>
        <v>0</v>
      </c>
      <c r="AF14" s="1257">
        <f t="shared" si="1"/>
        <v>162</v>
      </c>
      <c r="AG14" s="1257">
        <f t="shared" si="1"/>
        <v>0</v>
      </c>
      <c r="AH14" s="1257">
        <f t="shared" si="1"/>
        <v>6430</v>
      </c>
      <c r="AI14" s="1257">
        <f t="shared" si="1"/>
        <v>0</v>
      </c>
      <c r="AJ14" s="1257">
        <f t="shared" si="1"/>
        <v>0</v>
      </c>
      <c r="AK14" s="1257">
        <f t="shared" si="1"/>
        <v>0</v>
      </c>
      <c r="AL14" s="1257">
        <f t="shared" si="1"/>
        <v>1016</v>
      </c>
      <c r="AM14" s="1257">
        <f t="shared" si="1"/>
        <v>2673</v>
      </c>
      <c r="AN14" s="1257">
        <f t="shared" si="1"/>
        <v>0</v>
      </c>
      <c r="AO14" s="1257">
        <f t="shared" si="1"/>
        <v>0</v>
      </c>
      <c r="AP14" s="1262">
        <f>IF(ISNUMBER(((Datos!L14/Datos!K14)*11)/factor_trimestre),((Datos!L14/Datos!K14)*11)/factor_trimestre," - ")</f>
        <v>8.9163958107620083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-0.76041666666666663</v>
      </c>
      <c r="AU14" s="1257" t="str">
        <f>IF(ISNUMBER((DatosP!#REF!-DatosP!#REF!+DatosP!#REF!)/(DatosP!#REF!+DatosP!#REF!-DatosP!#REF!-DatosP!#REF!)),(DatosP!#REF!-DatosP!#REF!+DatosP!#REF!)/(DatosP!#REF!+DatosP!#REF!-DatosP!#REF!-DatosP!#REF!)," - ")</f>
        <v xml:space="preserve"> - </v>
      </c>
      <c r="AV14" s="1263">
        <f>SUBTOTAL(9,AV9:AV13)</f>
        <v>3.3429765348762457E-2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2.3464739378011386</v>
      </c>
      <c r="AQ23" s="1262">
        <f>IF(ISNUMBER(((Datos!M23/Datos!L23)*11)/factor_trimestre),((Datos!M23/Datos!L23)*11)/factor_trimestre," - ")</f>
        <v>7.8453114305270359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-0.11242603550295859</v>
      </c>
      <c r="AW23" s="1265">
        <f>IF(ISNUMBER((Datos!Q23-Datos!R23)/(Datos!S23-Datos!Q23+Datos!R23)),(Datos!Q23-Datos!R23)/(Datos!S23-Datos!Q23+Datos!R23)," - ")</f>
        <v>2.4057217165149546E-2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192</v>
      </c>
      <c r="G31" s="1278">
        <f t="shared" si="8"/>
        <v>178</v>
      </c>
      <c r="H31" s="1278">
        <f t="shared" si="8"/>
        <v>0</v>
      </c>
      <c r="I31" s="1279">
        <f t="shared" si="8"/>
        <v>0</v>
      </c>
      <c r="J31" s="1280">
        <f t="shared" si="8"/>
        <v>0</v>
      </c>
      <c r="K31" s="1280">
        <f t="shared" si="8"/>
        <v>0</v>
      </c>
      <c r="L31" s="1280">
        <f t="shared" si="8"/>
        <v>0</v>
      </c>
      <c r="M31" s="1280">
        <f t="shared" si="8"/>
        <v>0</v>
      </c>
      <c r="N31" s="1279">
        <f t="shared" si="8"/>
        <v>1517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146</v>
      </c>
      <c r="AC31" s="1284">
        <f t="shared" si="9"/>
        <v>0</v>
      </c>
      <c r="AD31" s="1284">
        <f t="shared" si="9"/>
        <v>1304</v>
      </c>
      <c r="AE31" s="1284">
        <f t="shared" si="9"/>
        <v>0</v>
      </c>
      <c r="AF31" s="1285">
        <f t="shared" si="9"/>
        <v>162</v>
      </c>
      <c r="AG31" s="1285">
        <f t="shared" si="9"/>
        <v>0</v>
      </c>
      <c r="AH31" s="1285">
        <f t="shared" si="9"/>
        <v>6430</v>
      </c>
      <c r="AI31" s="1285">
        <f t="shared" si="9"/>
        <v>0</v>
      </c>
      <c r="AJ31" s="1286">
        <f t="shared" si="9"/>
        <v>0</v>
      </c>
      <c r="AK31" s="1286">
        <f t="shared" si="9"/>
        <v>0</v>
      </c>
      <c r="AL31" s="1278">
        <f t="shared" si="9"/>
        <v>1016</v>
      </c>
      <c r="AM31" s="1278">
        <f t="shared" si="9"/>
        <v>2673</v>
      </c>
      <c r="AN31" s="1278">
        <f t="shared" si="9"/>
        <v>0</v>
      </c>
      <c r="AO31" s="1278">
        <f t="shared" si="9"/>
        <v>0</v>
      </c>
      <c r="AP31" s="1278">
        <f>IF(ISNUMBER(((Datos!L31/Datos!K31)*11)/factor_trimestre),((Datos!L31/Datos!K31)*11)/factor_trimestre," - ")</f>
        <v>5.283765237749253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-0.76041666666666663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2.8166822284469345E-2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105.1627310409919</v>
      </c>
      <c r="G33" s="1007">
        <f>IF(ISNUMBER(STDEV(G8:G30)),STDEV(G8:G30),"-")</f>
        <v>97.494615235919568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79.967493395754261</v>
      </c>
      <c r="AC33" s="1008">
        <f>IF(ISNUMBER(STDEV(AC8:AC30)),STDEV(AC8:AC30),"-")</f>
        <v>0</v>
      </c>
      <c r="AD33" s="1011"/>
      <c r="AE33" s="1011"/>
      <c r="AF33" s="1011"/>
      <c r="AG33" s="1011"/>
      <c r="AH33" s="1011"/>
      <c r="AI33" s="1011"/>
      <c r="AJ33" s="1012">
        <f>IF(ISNUMBER(STDEV(AJ8:AJ30)),STDEV(AJ8:AJ30),"-")</f>
        <v>0</v>
      </c>
      <c r="AK33" s="1014"/>
      <c r="AL33" s="1006">
        <f>IF(ISNUMBER(STDEV(AL8:AL30)),STDEV(AL8:AL30),"-")</f>
        <v>500.54197293200764</v>
      </c>
      <c r="AM33" s="1006"/>
      <c r="AN33" s="1006">
        <f>IF(ISNUMBER(STDEV(AN8:AN30)),STDEV(AN8:AN30),"-")</f>
        <v>0</v>
      </c>
      <c r="AO33" s="1012">
        <f>IF(ISNUMBER(STDEV(AO8:AO30)),STDEV(AO8:AO30),"-")</f>
        <v>0</v>
      </c>
      <c r="AP33" s="1065">
        <f>IF(ISNUMBER(STDEV(AP8:AP30)),STDEV(AP8:AP30),"-")</f>
        <v>4.1210036623668049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IwSbl58TO6pQ5G3Q750fXHkeUAgm4lV1NyjKjMdyYUWLFy2H+aGErCaSfQmBnzrSa04HweKDY+5unRQIZTjpg==" saltValue="wE87AVyAibMJm3/OSBOO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ROQUETAS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AfDrG+7eZLs766fds+D2uxubrH4Q4xhg0mXJAhlMmtY+2XXs+rCQAwFwAW7KWwc/3EkY22dglhQCZ6qbdeDYw==" saltValue="v/vACVlOHhMc+Un3CkI1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ROQUETAS DE MAR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65</v>
      </c>
      <c r="E10" s="452">
        <f>IF(ISNUMBER(D10/B10),D10/B10," - ")</f>
        <v>65</v>
      </c>
      <c r="F10" s="451">
        <f>IF(ISNUMBER(Datos!N10),Datos!N10," - ")</f>
        <v>67</v>
      </c>
      <c r="G10" s="452">
        <f>IF(ISNUMBER(F10/B10),F10/B10," - ")</f>
        <v>67</v>
      </c>
      <c r="H10" s="451">
        <f>IF(ISNUMBER(Datos!O10),Datos!O10," - ")</f>
        <v>25</v>
      </c>
      <c r="I10" s="452">
        <f t="shared" ref="I10:I13" si="2">IF(ISNUMBER(H10/B10),H10/B10," - ")</f>
        <v>25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951</v>
      </c>
      <c r="E12" s="452">
        <f t="shared" si="0"/>
        <v>158.5</v>
      </c>
      <c r="F12" s="451">
        <f>IF(ISNUMBER(Datos!N12),Datos!N12," - ")</f>
        <v>2606</v>
      </c>
      <c r="G12" s="452">
        <f t="shared" si="1"/>
        <v>434.33333333333331</v>
      </c>
      <c r="H12" s="451">
        <f>IF(ISNUMBER(Datos!O12),Datos!O12," - ")</f>
        <v>1982</v>
      </c>
      <c r="I12" s="452">
        <f t="shared" si="2"/>
        <v>330.33333333333331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1016</v>
      </c>
      <c r="E14" s="1147">
        <f t="shared" si="0"/>
        <v>145.14285714285714</v>
      </c>
      <c r="F14" s="1146">
        <f>SUBTOTAL(9,F9:F13)</f>
        <v>2673</v>
      </c>
      <c r="G14" s="1147">
        <f t="shared" si="1"/>
        <v>381.85714285714283</v>
      </c>
      <c r="H14" s="1146">
        <f>SUBTOTAL(9,H9:H13)</f>
        <v>2007</v>
      </c>
      <c r="I14" s="1147">
        <f>IF(ISNUMBER(H14/B14),H14/B14," - ")</f>
        <v>286.71428571428572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893</v>
      </c>
      <c r="E17" s="452">
        <f t="shared" si="3"/>
        <v>148.83333333333334</v>
      </c>
      <c r="F17" s="451">
        <f>IF(ISNUMBER(Datos!N17),Datos!N17," - ")</f>
        <v>3563</v>
      </c>
      <c r="G17" s="452">
        <f t="shared" si="4"/>
        <v>593.83333333333337</v>
      </c>
      <c r="H17" s="451">
        <f>IF(ISNUMBER(Datos!O17),Datos!O17," - ")</f>
        <v>15</v>
      </c>
      <c r="I17" s="452">
        <f t="shared" si="5"/>
        <v>2.5</v>
      </c>
    </row>
    <row r="18" spans="1:9">
      <c r="A18" s="450" t="str">
        <f>Datos!A18</f>
        <v>Jdos. Violencia contra la mujer</v>
      </c>
      <c r="B18" s="480">
        <f>Datos!AO18</f>
        <v>1</v>
      </c>
      <c r="C18" s="481">
        <f>Datos!AQ18</f>
        <v>0</v>
      </c>
      <c r="D18" s="451">
        <f>IF(ISNUMBER(Datos!M18),Datos!M18," - ")</f>
        <v>149</v>
      </c>
      <c r="E18" s="452">
        <f>IF(ISNUMBER(D18/B18),D18/B18," - ")</f>
        <v>149</v>
      </c>
      <c r="F18" s="451">
        <f>IF(ISNUMBER(Datos!N18),Datos!N18," - ")</f>
        <v>523</v>
      </c>
      <c r="G18" s="452">
        <f>IF(ISNUMBER(F18/B18),F18/B18," - ")</f>
        <v>523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1042</v>
      </c>
      <c r="E23" s="1147">
        <f t="shared" si="3"/>
        <v>148.85714285714286</v>
      </c>
      <c r="F23" s="1146">
        <f>SUBTOTAL(9,F16:F22)</f>
        <v>4086</v>
      </c>
      <c r="G23" s="1147">
        <f t="shared" si="4"/>
        <v>583.71428571428567</v>
      </c>
      <c r="H23" s="1146">
        <f>SUBTOTAL(9,H16:H22)</f>
        <v>15</v>
      </c>
      <c r="I23" s="1147">
        <f>IF(ISNUMBER(H23/B23),H23/B23," - ")</f>
        <v>2.1428571428571428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2058</v>
      </c>
      <c r="E31" s="1085">
        <f>IF(ISNUMBER(D31/B31),D31/B31," - ")</f>
        <v>343</v>
      </c>
      <c r="F31" s="1084">
        <f>SUBTOTAL(9,F8:F30)</f>
        <v>6759</v>
      </c>
      <c r="G31" s="1085">
        <f>IF(ISNUMBER(F31/B31),F31/B31," - ")</f>
        <v>1126.5</v>
      </c>
      <c r="H31" s="1084">
        <f>SUBTOTAL(9,H8:H30)</f>
        <v>2022</v>
      </c>
      <c r="I31" s="1085">
        <f>IF(ISNUMBER(H31/B31),H31/B31," - ")</f>
        <v>337</v>
      </c>
    </row>
    <row r="34" spans="1:1">
      <c r="A34" s="439" t="str">
        <f>Criterios!A4</f>
        <v>Fecha Informe: 06 may. 2023</v>
      </c>
    </row>
    <row r="39" spans="1:1">
      <c r="A39" s="462"/>
    </row>
  </sheetData>
  <sheetProtection algorithmName="SHA-512" hashValue="1Hzo4TJKTSKu/9XTW5Ahf8KINNBsjJY3fgGtUwHPdZBVADjhzwTnfsTWg0n8gCyCnBE6K/31azkXuQKtsJD9HQ==" saltValue="UffHURLnJr8k7tjvvjc7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ROQUETAS DE MAR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13</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1512</v>
      </c>
      <c r="C12" s="489">
        <f>IF(ISNUMBER(Datos!Q12),Datos!Q12," - ")</f>
        <v>1304</v>
      </c>
      <c r="D12" s="456">
        <f>IF(ISNUMBER(Datos!R12),Datos!R12," - ")</f>
        <v>6430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1517</v>
      </c>
      <c r="C14" s="1150">
        <f>SUBTOTAL(9,C9:C13)</f>
        <v>1317</v>
      </c>
      <c r="D14" s="1148">
        <f>SUBTOTAL(9,D9:D13)</f>
        <v>6457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157</v>
      </c>
      <c r="C17" s="489">
        <f>IF(ISNUMBER(Datos!Q17),Datos!Q17," - ")</f>
        <v>174</v>
      </c>
      <c r="D17" s="456">
        <f>IF(ISNUMBER(Datos!R17),Datos!R17," - ")</f>
        <v>139</v>
      </c>
    </row>
    <row r="18" spans="1:4">
      <c r="A18" s="450" t="str">
        <f>Datos!A18</f>
        <v>Jdos. Violencia contra la mujer</v>
      </c>
      <c r="B18" s="488">
        <f>IF(ISNUMBER(Datos!P18),Datos!P18," - ")</f>
        <v>11</v>
      </c>
      <c r="C18" s="489">
        <f>IF(ISNUMBER(Datos!Q18),Datos!Q18," - ")</f>
        <v>13</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168</v>
      </c>
      <c r="C23" s="1150">
        <f>SUBTOTAL(9,C16:C22)</f>
        <v>187</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1685</v>
      </c>
      <c r="C31" s="1089">
        <f>SUBTOTAL(9,C8:C30)</f>
        <v>1504</v>
      </c>
      <c r="D31" s="1090">
        <f>SUBTOTAL(9,D8:D30)</f>
        <v>6607</v>
      </c>
    </row>
    <row r="32" spans="1:4" ht="7.5" customHeight="1"/>
    <row r="33" spans="1:1" ht="6" customHeight="1"/>
    <row r="34" spans="1:1">
      <c r="A34" s="439" t="str">
        <f>Criterios!A4</f>
        <v>Fecha Informe: 06 may. 2023</v>
      </c>
    </row>
    <row r="39" spans="1:1">
      <c r="A39" s="462"/>
    </row>
  </sheetData>
  <sheetProtection algorithmName="SHA-512" hashValue="Mm76rkdkmO8PyzOK9ftUTVVdqsjss0FLIY0e08Rdhpwy3Oddf6VH5zjw9ZTulYX77QSI057npRJHD5rSbWtT1w==" saltValue="cOi28dlk4+kVOAX9jksJ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ROQUETAS DE MAR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-2.7322404371584699E-2</v>
      </c>
      <c r="C10" s="515">
        <f>IF(ISNUMBER((Datos!J10-Datos!T10)/Datos!T10),(Datos!J10-Datos!T10)/Datos!T10," - ")</f>
        <v>0.24731182795698925</v>
      </c>
      <c r="D10" s="515">
        <f>IF(ISNUMBER((Datos!K10-Datos!U10)/Datos!U10),(Datos!K10-Datos!U10)/Datos!U10," - ")</f>
        <v>0.48979591836734693</v>
      </c>
      <c r="E10" s="515">
        <f>IF(ISNUMBER((Datos!L10-Datos!V10)/Datos!V10),(Datos!L10-Datos!V10)/Datos!V10," - ")</f>
        <v>-8.98876404494382E-2</v>
      </c>
      <c r="F10" s="515">
        <f>IF(ISNUMBER((Datos!M10-Datos!W10)/Datos!W10),(Datos!M10-Datos!W10)/Datos!W10," - ")</f>
        <v>0.91176470588235292</v>
      </c>
      <c r="G10" s="516">
        <f>IF(ISNUMBER((Datos!N10-Datos!X10)/Datos!X10),(Datos!N10-Datos!X10)/Datos!X10," - ")</f>
        <v>1.68</v>
      </c>
      <c r="H10" s="514">
        <f>IF(ISNUMBER(((NºAsuntos!G10/NºAsuntos!E10)-Datos!BD10)/Datos!BD10),((NºAsuntos!G10/NºAsuntos!E10)-Datos!BD10)/Datos!BD10," - ")</f>
        <v>0.19440534834623507</v>
      </c>
      <c r="I10" s="515">
        <f>IF(ISNUMBER(((NºAsuntos!I10/NºAsuntos!G10)-Datos!BE10)/Datos!BE10),((NºAsuntos!I10/NºAsuntos!G10)-Datos!BE10)/Datos!BE10," - ")</f>
        <v>-0.38910266276743111</v>
      </c>
      <c r="J10" s="521">
        <f>IF(ISNUMBER((('Resol  Asuntos'!D10/NºAsuntos!G10)-Datos!BF10)/Datos!BF10),(('Resol  Asuntos'!D10/NºAsuntos!G10)-Datos!BF10)/Datos!BF10," - ")</f>
        <v>0.2832393231265109</v>
      </c>
      <c r="K10" s="522">
        <f>IF(ISNUMBER((((NºAsuntos!C10+NºAsuntos!E10)/NºAsuntos!G10)-Datos!BG10)/Datos!BG10),(((NºAsuntos!C10+NºAsuntos!E10)/NºAsuntos!G10)-Datos!BG10)/Datos!BG10," - ")</f>
        <v>-0.28499106611078023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-0.15688276331461631</v>
      </c>
      <c r="C12" s="515">
        <f>IF(ISNUMBER(
   IF(J_V="SI",(Datos!J12-Datos!T12)/Datos!T12,(Datos!J12+Datos!Z12-(Datos!T12+Datos!AH12))/(Datos!T12+Datos!AH12))
     ),IF(J_V="SI",(Datos!J12-Datos!T12)/Datos!T12,(Datos!J12+Datos!Z12-(Datos!T12+Datos!AH12))/(Datos!T12+Datos!AH12))," - ")</f>
        <v>-5.2356020942408377E-2</v>
      </c>
      <c r="D12" s="515">
        <f>IF(ISNUMBER(
   IF(J_V="SI",(Datos!K12-Datos!U12)/Datos!U12,(Datos!K12+Datos!AA12-(Datos!U12+Datos!AI12))/(Datos!U12+Datos!AI12))
     ),IF(J_V="SI",(Datos!K12-Datos!U12)/Datos!U12,(Datos!K12+Datos!AA12-(Datos!U12+Datos!AI12))/(Datos!U12+Datos!AI12))," - ")</f>
        <v>-0.13279215806402206</v>
      </c>
      <c r="E12" s="515">
        <f>IF(ISNUMBER(
   IF(J_V="SI",(Datos!L12-Datos!V12)/Datos!V12,(Datos!L12+Datos!AB12-(Datos!V12+Datos!AJ12))/(Datos!V12+Datos!AJ12))
     ),IF(J_V="SI",(Datos!L12-Datos!V12)/Datos!V12,(Datos!L12+Datos!AB12-(Datos!V12+Datos!AJ12))/(Datos!V12+Datos!AJ12))," - ")</f>
        <v>-9.8082744702320881E-2</v>
      </c>
      <c r="F12" s="515">
        <f>IF(ISNUMBER((Datos!M12-Datos!W12)/Datos!W12),(Datos!M12-Datos!W12)/Datos!W12," - ")</f>
        <v>-0.16652059596844873</v>
      </c>
      <c r="G12" s="516">
        <f>IF(ISNUMBER((Datos!N12-Datos!X12)/Datos!X12),(Datos!N12-Datos!X12)/Datos!X12," - ")</f>
        <v>-4.1206769683590876E-2</v>
      </c>
      <c r="H12" s="514">
        <f>IF(ISNUMBER(((NºAsuntos!G12/NºAsuntos!E12)-Datos!BD12)/Datos!BD12),((NºAsuntos!G12/NºAsuntos!E12)-Datos!BD12)/Datos!BD12," - ")</f>
        <v>-8.4880122597946028E-2</v>
      </c>
      <c r="I12" s="515">
        <f>IF(ISNUMBER(((NºAsuntos!I12/NºAsuntos!G12)-Datos!BE12)/Datos!BE12),((NºAsuntos!I12/NºAsuntos!G12)-Datos!BE12)/Datos!BE12," - ")</f>
        <v>4.0024330596705585E-2</v>
      </c>
      <c r="J12" s="521">
        <f>IF(ISNUMBER((('Resol  Asuntos'!D12/NºAsuntos!G12)-Datos!BF12)/Datos!BF12),(('Resol  Asuntos'!D12/NºAsuntos!G12)-Datos!BF12)/Datos!BF12," - ")</f>
        <v>-0.59653314026432369</v>
      </c>
      <c r="K12" s="522">
        <f>IF(ISNUMBER((((NºAsuntos!C12+NºAsuntos!E12)/NºAsuntos!G12)-Datos!BG12)/Datos!BG12),(((NºAsuntos!C12+NºAsuntos!E12)/NºAsuntos!G12)-Datos!BG12)/Datos!BG12," - ")</f>
        <v>3.07024144786039E-2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-0.15297029702970297</v>
      </c>
      <c r="C14" s="1152">
        <f>IF(ISNUMBER(
   IF(J_V="SI",(Datos!J14-Datos!T14)/Datos!T14,(Datos!J14+Datos!Z14-(Datos!T14+Datos!AH14))/(Datos!T14+Datos!AH14))
     ),IF(J_V="SI",(Datos!J14-Datos!T14)/Datos!T14,(Datos!J14+Datos!Z14-(Datos!T14+Datos!AH14))/(Datos!T14+Datos!AH14))," - ")</f>
        <v>-4.7407670454545456E-2</v>
      </c>
      <c r="D14" s="1152">
        <f>IF(ISNUMBER(
   IF(J_V="SI",(Datos!K14-Datos!U14)/Datos!U14,(Datos!K14+Datos!AA14-(Datos!U14+Datos!AI14))/(Datos!U14+Datos!AI14))
     ),IF(J_V="SI",(Datos!K14-Datos!U14)/Datos!U14,(Datos!K14+Datos!AA14-(Datos!U14+Datos!AI14))/(Datos!U14+Datos!AI14))," - ")</f>
        <v>-0.12358533272974197</v>
      </c>
      <c r="E14" s="1152">
        <f>IF(ISNUMBER(
   IF(J_V="SI",(Datos!L14-Datos!V14)/Datos!V14,(Datos!L14+Datos!AB14-(Datos!V14+Datos!AJ14))/(Datos!V14+Datos!AJ14))
     ),IF(J_V="SI",(Datos!L14-Datos!V14)/Datos!V14,(Datos!L14+Datos!AB14-(Datos!V14+Datos!AJ14))/(Datos!V14+Datos!AJ14))," - ")</f>
        <v>-9.7798558347944667E-2</v>
      </c>
      <c r="F14" s="1153">
        <f>IF(ISNUMBER((Datos!M14-Datos!W14)/Datos!W14),(Datos!M14-Datos!W14)/Datos!W14," - ")</f>
        <v>-0.13531914893617022</v>
      </c>
      <c r="G14" s="1154">
        <f>IF(ISNUMBER((Datos!N14-Datos!X14)/Datos!X14),(Datos!N14-Datos!X14)/Datos!X14," - ")</f>
        <v>-2.5519504192489974E-2</v>
      </c>
      <c r="H14" s="1154">
        <f>IF(ISNUMBER(((NºAsuntos!G14/NºAsuntos!E14)-Datos!BD14)/Datos!BD14),((NºAsuntos!G14/NºAsuntos!E14)-Datos!BD14)/Datos!BD14," - ")</f>
        <v>-7.9968796632601591E-2</v>
      </c>
      <c r="I14" s="1154">
        <f>IF(ISNUMBER(((NºAsuntos!I14/NºAsuntos!G14)-Datos!BE14)/Datos!BE14),((NºAsuntos!I14/NºAsuntos!G14)-Datos!BE14)/Datos!BE14," - ")</f>
        <v>2.9423029240387515E-2</v>
      </c>
      <c r="J14" s="1154">
        <f>IF(ISNUMBER((('Resol  Asuntos'!D14/NºAsuntos!G14)-Datos!BF14)/Datos!BF14),(('Resol  Asuntos'!D14/NºAsuntos!G14)-Datos!BF14)/Datos!BF14," - ")</f>
        <v>-0.57875414424370564</v>
      </c>
      <c r="K14" s="1154">
        <f>IF(ISNUMBER((((NºAsuntos!C14+NºAsuntos!E14)/NºAsuntos!G14)-Datos!BG14)/Datos!BG14),(((NºAsuntos!C14+NºAsuntos!E14)/NºAsuntos!G14)-Datos!BG14)/Datos!BG14," - ")</f>
        <v>2.4490945988356813E-2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-0.36705399863294602</v>
      </c>
      <c r="C17" s="515">
        <f>IF(ISNUMBER(
   IF(D_I="SI",(Datos!J17-Datos!T17)/Datos!T17,(Datos!J17+Datos!AD17-(Datos!T17+Datos!AL17))/(Datos!T17+Datos!AL17))
     ),IF(D_I="SI",(Datos!J17-Datos!T17)/Datos!T17,(Datos!J17+Datos!AD17-(Datos!T17+Datos!AL17))/(Datos!T17+Datos!AL17))," - ")</f>
        <v>0.10400847607275296</v>
      </c>
      <c r="D17" s="515">
        <f>IF(ISNUMBER(
   IF(D_I="SI",(Datos!K17-Datos!U17)/Datos!U17,(Datos!K17+Datos!AE17-(Datos!U17+Datos!AM17))/(Datos!U17+Datos!AM17))
     ),IF(D_I="SI",(Datos!K17-Datos!U17)/Datos!U17,(Datos!K17+Datos!AE17-(Datos!U17+Datos!AM17))/(Datos!U17+Datos!AM17))," - ")</f>
        <v>-1.3905375614719349E-2</v>
      </c>
      <c r="E17" s="515">
        <f>IF(ISNUMBER(
   IF(D_I="SI",(Datos!L17-Datos!V17)/Datos!V17,(Datos!L17+Datos!AF17-(Datos!V17+Datos!AN17))/(Datos!V17+Datos!AN17))
     ),IF(D_I="SI",(Datos!L17-Datos!V17)/Datos!V17,(Datos!L17+Datos!AF17-(Datos!V17+Datos!AN17))/(Datos!V17+Datos!AN17))," - ")</f>
        <v>0.40712742980561556</v>
      </c>
      <c r="F17" s="515">
        <f>IF(ISNUMBER((Datos!M17-Datos!W17)/Datos!W17),(Datos!M17-Datos!W17)/Datos!W17," - ")</f>
        <v>2.880184331797235E-2</v>
      </c>
      <c r="G17" s="516">
        <f>IF(ISNUMBER((Datos!N17-Datos!X17)/Datos!X17),(Datos!N17-Datos!X17)/Datos!X17," - ")</f>
        <v>-5.6100981767180928E-4</v>
      </c>
      <c r="H17" s="514">
        <f>IF(ISNUMBER(((NºAsuntos!G17/NºAsuntos!E17)-Datos!BD17)/Datos!BD17),((NºAsuntos!G17/NºAsuntos!E17)-Datos!BD17)/Datos!BD17," - ")</f>
        <v>-0.10680520507136197</v>
      </c>
      <c r="I17" s="515">
        <f>IF(ISNUMBER(((NºAsuntos!I17/NºAsuntos!G17)-Datos!BE17)/Datos!BE17),((NºAsuntos!I17/NºAsuntos!G17)-Datos!BE17)/Datos!BE17," - ")</f>
        <v>0.426969983415944</v>
      </c>
      <c r="J17" s="521">
        <f>IF(ISNUMBER((('Resol  Asuntos'!D17/NºAsuntos!G17)-Datos!BF17)/Datos!BF17),(('Resol  Asuntos'!D17/NºAsuntos!G17)-Datos!BF17)/Datos!BF17," - ")</f>
        <v>4.3309453146359859E-2</v>
      </c>
      <c r="K17" s="522">
        <f>IF(ISNUMBER((((NºAsuntos!C17+NºAsuntos!E17)/NºAsuntos!G17)-Datos!BG17)/Datos!BG17),(((NºAsuntos!C17+NºAsuntos!E17)/NºAsuntos!G17)-Datos!BG17)/Datos!BG17," - ")</f>
        <v>2.1501584668450285E-2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0.10714285714285714</v>
      </c>
      <c r="C18" s="515">
        <f>IF(ISNUMBER(
   IF(D_I="SI",(Datos!J18-Datos!T18)/Datos!T18,(Datos!J18+Datos!AD18-(Datos!T18+Datos!AL18))/(Datos!T18+Datos!AL18))
     ),IF(D_I="SI",(Datos!J18-Datos!T18)/Datos!T18,(Datos!J18+Datos!AD18-(Datos!T18+Datos!AL18))/(Datos!T18+Datos!AL18))," - ")</f>
        <v>0.19339622641509435</v>
      </c>
      <c r="D18" s="515">
        <f>IF(ISNUMBER(
   IF(D_I="SI",(Datos!K18-Datos!U18)/Datos!U18,(Datos!K18+Datos!AE18-(Datos!U18+Datos!AM18))/(Datos!U18+Datos!AM18))
     ),IF(D_I="SI",(Datos!K18-Datos!U18)/Datos!U18,(Datos!K18+Datos!AE18-(Datos!U18+Datos!AM18))/(Datos!U18+Datos!AM18))," - ")</f>
        <v>0.49638205499276411</v>
      </c>
      <c r="E18" s="515">
        <f>IF(ISNUMBER(
   IF(D_I="SI",(Datos!L18-Datos!V18)/Datos!V18,(Datos!L18+Datos!AF18-(Datos!V18+Datos!AN18))/(Datos!V18+Datos!AN18))
     ),IF(D_I="SI",(Datos!L18-Datos!V18)/Datos!V18,(Datos!L18+Datos!AF18-(Datos!V18+Datos!AN18))/(Datos!V18+Datos!AN18))," - ")</f>
        <v>0.27419354838709675</v>
      </c>
      <c r="F18" s="515">
        <f>IF(ISNUMBER((Datos!M18-Datos!W18)/Datos!W18),(Datos!M18-Datos!W18)/Datos!W18," - ")</f>
        <v>-0.18579234972677597</v>
      </c>
      <c r="G18" s="516">
        <f>IF(ISNUMBER((Datos!N18-Datos!X18)/Datos!X18),(Datos!N18-Datos!X18)/Datos!X18," - ")</f>
        <v>0.88129496402877694</v>
      </c>
      <c r="H18" s="514">
        <f>IF(ISNUMBER(((NºAsuntos!G18/NºAsuntos!E18)-Datos!BD18)/Datos!BD18),((NºAsuntos!G18/NºAsuntos!E18)-Datos!BD18)/Datos!BD18," - ")</f>
        <v>0.25388535833385772</v>
      </c>
      <c r="I18" s="515">
        <f>IF(ISNUMBER(((NºAsuntos!I18/NºAsuntos!G18)-Datos!BE18)/Datos!BE18),((NºAsuntos!I18/NºAsuntos!G18)-Datos!BE18)/Datos!BE18," - ")</f>
        <v>-0.14848380857303303</v>
      </c>
      <c r="J18" s="521">
        <f>IF(ISNUMBER((('Resol  Asuntos'!D18/NºAsuntos!G18)-Datos!BF18)/Datos!BF18),(('Resol  Asuntos'!D18/NºAsuntos!G18)-Datos!BF18)/Datos!BF18," - ")</f>
        <v>-0.45588250837640448</v>
      </c>
      <c r="K18" s="522">
        <f>IF(ISNUMBER((((NºAsuntos!C18+NºAsuntos!E18)/NºAsuntos!G18)-Datos!BG18)/Datos!BG18),(((NºAsuntos!C18+NºAsuntos!E18)/NºAsuntos!G18)-Datos!BG18)/Datos!BG18," - ")</f>
        <v>-0.20920373952288837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-0.33333333333333331</v>
      </c>
      <c r="C23" s="1152">
        <f>IF(ISNUMBER(
   IF(Criterios!B14="SI",(Datos!J23-Datos!T23)/Datos!T23,(Datos!J23+Datos!AD23-(Datos!T23+Datos!AL23))/(Datos!T23+Datos!AL23))
     ),IF(Criterios!B14="SI",(Datos!J23-Datos!T23)/Datos!T23,(Datos!J23+Datos!AD23-(Datos!T23+Datos!AL23))/(Datos!T23+Datos!AL23))," - ")</f>
        <v>0.11565043772078022</v>
      </c>
      <c r="D23" s="1152">
        <f>IF(ISNUMBER(
   IF(Criterios!B14="SI",(Datos!K23-Datos!U23)/Datos!U23,(Datos!K23+Datos!AE23-(Datos!U23+Datos!AM23))/(Datos!U23+Datos!AM23))
     ),IF(Criterios!B14="SI",(Datos!K23-Datos!U23)/Datos!U23,(Datos!K23+Datos!AE23-(Datos!U23+Datos!AM23))/(Datos!U23+Datos!AM23))," - ")</f>
        <v>3.9617486338797817E-2</v>
      </c>
      <c r="E23" s="1152">
        <f>IF(ISNUMBER(
   IF(Criterios!B14="SI",(Datos!L23-Datos!V23)/Datos!V23,(Datos!L23+Datos!AF23-(Datos!V23+Datos!AN23))/(Datos!V23+Datos!AN23))
     ),IF(Criterios!B14="SI",(Datos!L23-Datos!V23)/Datos!V23,(Datos!L23+Datos!AF23-(Datos!V23+Datos!AN23))/(Datos!V23+Datos!AN23))," - ")</f>
        <v>0.3914285714285714</v>
      </c>
      <c r="F23" s="1153">
        <f>IF(ISNUMBER((Datos!M23-Datos!W23)/Datos!W23),(Datos!M23-Datos!W23)/Datos!W23," - ")</f>
        <v>-8.5632730732635581E-3</v>
      </c>
      <c r="G23" s="1154">
        <f>IF(ISNUMBER((Datos!N23-Datos!X23)/Datos!X23),(Datos!N23-Datos!X23)/Datos!X23," - ")</f>
        <v>6.323185011709602E-2</v>
      </c>
      <c r="H23" s="1154">
        <f>IF(ISNUMBER(((NºAsuntos!G23/NºAsuntos!E23)-Datos!BD23)/Datos!BD23),((NºAsuntos!G23/NºAsuntos!E23)-Datos!BD23)/Datos!BD23," - ")</f>
        <v>-6.8151231614549487E-2</v>
      </c>
      <c r="I23" s="1154">
        <f>IF(ISNUMBER(((NºAsuntos!I23/NºAsuntos!G23)-Datos!BE23)/Datos!BE23),((NºAsuntos!I23/NºAsuntos!G23)-Datos!BE23)/Datos!BE23," - ")</f>
        <v>0.33840435517176637</v>
      </c>
      <c r="J23" s="1154">
        <f>IF(ISNUMBER((('Resol  Asuntos'!D23/NºAsuntos!G23)-Datos!BF23)/Datos!BF23),(('Resol  Asuntos'!D23/NºAsuntos!G23)-Datos!BF23)/Datos!BF23," - ")</f>
        <v>-4.6344698935123559E-2</v>
      </c>
      <c r="K23" s="1154">
        <f>IF(ISNUMBER((((NºAsuntos!C23+NºAsuntos!E23)/NºAsuntos!G23)-Datos!BG23)/Datos!BG23),(((NºAsuntos!C23+NºAsuntos!E23)/NºAsuntos!G23)-Datos!BG23)/Datos!BG23," - ")</f>
        <v>-1.098538932494076E-2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-0.19017681728880156</v>
      </c>
      <c r="C31" s="1092">
        <f>IF(ISNUMBER(
   IF(J_V="SI",(Datos!J31-Datos!T31)/Datos!T31,(Datos!J31+Datos!Z31-(Datos!T31+Datos!AH31))/(Datos!T31+Datos!AH31))
     ),IF(J_V="SI",(Datos!J31-Datos!T31)/Datos!T31,(Datos!J31+Datos!Z31-(Datos!T31+Datos!AH31))/(Datos!T31+Datos!AH31))," - ")</f>
        <v>4.0023058552252327E-2</v>
      </c>
      <c r="D31" s="1092">
        <f>IF(ISNUMBER(
   IF(J_V="SI",(Datos!K31-Datos!U31)/Datos!U31,(Datos!K31+Datos!AA31-(Datos!U31+Datos!AI31))/(Datos!U31+Datos!AI31))
     ),IF(J_V="SI",(Datos!K31-Datos!U31)/Datos!U31,(Datos!K31+Datos!AA31-(Datos!U31+Datos!AI31))/(Datos!U31+Datos!AI31))," - ")</f>
        <v>-4.2224744608399548E-2</v>
      </c>
      <c r="E31" s="1092">
        <f>IF(ISNUMBER(
   IF(J_V="SI",(Datos!L31-Datos!V31)/Datos!V31,(Datos!L31+Datos!AB31-(Datos!V31+Datos!AJ31))/(Datos!V31+Datos!AJ31))
     ),IF(J_V="SI",(Datos!L31-Datos!V31)/Datos!V31,(Datos!L31+Datos!AB31-(Datos!V31+Datos!AJ31))/(Datos!V31+Datos!AJ31))," - ")</f>
        <v>-1.4717774543102054E-2</v>
      </c>
      <c r="F31" s="1093">
        <f>IF(ISNUMBER((Datos!M31-Datos!W31)/Datos!W31),(Datos!M31-Datos!W31)/Datos!W31," - ")</f>
        <v>-7.5471698113207544E-2</v>
      </c>
      <c r="G31" s="1094">
        <f>IF(ISNUMBER((Datos!N31-Datos!X31)/Datos!X31),(Datos!N31-Datos!X31)/Datos!X31," - ")</f>
        <v>2.6267840874582449E-2</v>
      </c>
      <c r="H31" s="1095">
        <f>IF(ISNUMBER((Tasas!B31-Datos!BD31)/Datos!BD31),(Tasas!B31-Datos!BD31)/Datos!BD31," - ")</f>
        <v>-7.9082672719914038E-2</v>
      </c>
      <c r="I31" s="1096">
        <f>IF(ISNUMBER((Tasas!C31-Datos!BE31)/Datos!BE31),(Tasas!C31-Datos!BE31)/Datos!BE31," - ")</f>
        <v>2.8719649949664767E-2</v>
      </c>
      <c r="J31" s="1097">
        <f>IF(ISNUMBER((Tasas!D31-Datos!BF31)/Datos!BF31),(Tasas!D31-Datos!BF31)/Datos!BF31," - ")</f>
        <v>-0.43499091328766587</v>
      </c>
      <c r="K31" s="1097">
        <f>IF(ISNUMBER((Tasas!E31-Datos!BG31)/Datos!BG31),(Tasas!E31-Datos!BG31)/Datos!BG31," - ")</f>
        <v>-6.9091399003938844E-3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F+0bNFw5NNLdLkT1UbLrihjk71H1jyFr9vDMyvhavTaQarpOmIjJeJMvryNQE6exknf7PVX8Y/iH8/quklfpA==" saltValue="pyY/2tEUXDxHtJ+qcBV2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ROQUETAS DE MAR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1.2586206896551724</v>
      </c>
      <c r="C10" s="498">
        <f>IF(ISNUMBER(NºAsuntos!I10/NºAsuntos!G10),NºAsuntos!I10/NºAsuntos!G10," - ")</f>
        <v>1.1095890410958904</v>
      </c>
      <c r="D10" s="499">
        <f>IF(ISNUMBER('Resol  Asuntos'!D10/NºAsuntos!G10),'Resol  Asuntos'!D10/NºAsuntos!G10," - ")</f>
        <v>0.4452054794520548</v>
      </c>
      <c r="E10" s="500">
        <f>IF(ISNUMBER((NºAsuntos!C10+NºAsuntos!E10)/NºAsuntos!G10),(NºAsuntos!C10+NºAsuntos!E10)/NºAsuntos!G10," - ")</f>
        <v>2.0136986301369864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1.0786816536483139</v>
      </c>
      <c r="C12" s="498">
        <f>IF(ISNUMBER(NºAsuntos!I12/NºAsuntos!G12),NºAsuntos!I12/NºAsuntos!G12," - ")</f>
        <v>0.7892970681737902</v>
      </c>
      <c r="D12" s="499">
        <f>IF(ISNUMBER('Resol  Asuntos'!D12/NºAsuntos!G12),'Resol  Asuntos'!D12/NºAsuntos!G12," - ")</f>
        <v>0.167961850936065</v>
      </c>
      <c r="E12" s="500">
        <f>IF(ISNUMBER((NºAsuntos!C12+NºAsuntos!E12)/NºAsuntos!G12),(NºAsuntos!C12+NºAsuntos!E12)/NºAsuntos!G12," - ")</f>
        <v>1.8021900388555281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1.0825722273998135</v>
      </c>
      <c r="C14" s="1156">
        <f>IF(ISNUMBER(NºAsuntos!I14/NºAsuntos!G14),NºAsuntos!I14/NºAsuntos!G14," - ")</f>
        <v>0.79734848484848486</v>
      </c>
      <c r="D14" s="1157">
        <f>IF(ISNUMBER('Resol  Asuntos'!D14/NºAsuntos!G14),'Resol  Asuntos'!D14/NºAsuntos!G14," - ")</f>
        <v>0.17493112947658401</v>
      </c>
      <c r="E14" s="1158">
        <f>IF(ISNUMBER((NºAsuntos!C14+NºAsuntos!E14)/NºAsuntos!G14),(NºAsuntos!C14+NºAsuntos!E14)/NºAsuntos!G14," - ")</f>
        <v>1.8075068870523416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0.93010236724248241</v>
      </c>
      <c r="C17" s="498">
        <f>IF(ISNUMBER(NºAsuntos!I17/NºAsuntos!G17),NºAsuntos!I17/NºAsuntos!G17," - ")</f>
        <v>0.22407566638005158</v>
      </c>
      <c r="D17" s="499">
        <f>IF(ISNUMBER('Resol  Asuntos'!D17/NºAsuntos!G17),'Resol  Asuntos'!D17/NºAsuntos!G17," - ")</f>
        <v>0.15356835769561478</v>
      </c>
      <c r="E17" s="500">
        <f>IF(ISNUMBER((NºAsuntos!C17+NºAsuntos!E17)/NºAsuntos!G17),(NºAsuntos!C17+NºAsuntos!E17)/NºAsuntos!G17," - ")</f>
        <v>1.2343938091143594</v>
      </c>
      <c r="G17" s="523"/>
    </row>
    <row r="18" spans="1:7">
      <c r="A18" s="450" t="str">
        <f>Datos!A18</f>
        <v>Jdos. Violencia contra la mujer</v>
      </c>
      <c r="B18" s="497">
        <f>IF(ISNUMBER(NºAsuntos!G18/NºAsuntos!E18),NºAsuntos!G18/NºAsuntos!E18," - ")</f>
        <v>1.0217391304347827</v>
      </c>
      <c r="C18" s="498">
        <f>IF(ISNUMBER(NºAsuntos!I18/NºAsuntos!G18),NºAsuntos!I18/NºAsuntos!G18," - ")</f>
        <v>0.15280464216634429</v>
      </c>
      <c r="D18" s="499">
        <f>IF(ISNUMBER('Resol  Asuntos'!D18/NºAsuntos!G18),'Resol  Asuntos'!D18/NºAsuntos!G18," - ")</f>
        <v>0.14410058027079303</v>
      </c>
      <c r="E18" s="500">
        <f>IF(ISNUMBER((NºAsuntos!C18+NºAsuntos!E18)/NºAsuntos!G18),(NºAsuntos!C18+NºAsuntos!E18)/NºAsuntos!G18," - ")</f>
        <v>1.0986460348162477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0.94286894273127753</v>
      </c>
      <c r="C23" s="1156">
        <f>IF(ISNUMBER(NºAsuntos!I23/NºAsuntos!G23),NºAsuntos!I23/NºAsuntos!G23," - ")</f>
        <v>0.21331581252737625</v>
      </c>
      <c r="D23" s="1159">
        <f>IF(ISNUMBER('Resol  Asuntos'!D23/NºAsuntos!G23),'Resol  Asuntos'!D23/NºAsuntos!G23," - ")</f>
        <v>0.15213899839392611</v>
      </c>
      <c r="E23" s="1158">
        <f>IF(ISNUMBER((NºAsuntos!C23+NºAsuntos!E23)/NºAsuntos!G23),(NºAsuntos!C23+NºAsuntos!E23)/NºAsuntos!G23," - ")</f>
        <v>1.2138998393926121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1.0022171193285296</v>
      </c>
      <c r="C31" s="1099">
        <f>IF(ISNUMBER(NºAsuntos!I31/NºAsuntos!G31),NºAsuntos!I31/NºAsuntos!G31," - ")</f>
        <v>0.48131468752468992</v>
      </c>
      <c r="D31" s="1100">
        <f>IF(ISNUMBER('Resol  Asuntos'!D31/NºAsuntos!G31),'Resol  Asuntos'!D31/NºAsuntos!G31," - ")</f>
        <v>0.16259777198388245</v>
      </c>
      <c r="E31" s="1101">
        <f>IF(ISNUMBER((NºAsuntos!C31+NºAsuntos!E31)/NºAsuntos!G31),(NºAsuntos!C31+NºAsuntos!E31)/NºAsuntos!G31," - ")</f>
        <v>1.486292170340523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VglveqNMQhobgH/gNaVg5uyprQokp8cnk4QTfGBNZiqMA+5aHEFqW5ZeZKtEvlW0AkCBFRxZhWpGPDWQB9rPg==" saltValue="gqBwKYu28kB4V3BkyMLq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ROQUETAS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192</v>
      </c>
      <c r="G10" s="373">
        <f>IF(ISNUMBER(Datos!I10),Datos!I10," - ")</f>
        <v>178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146</v>
      </c>
      <c r="X10" s="240">
        <f>IF(ISNUMBER(Datos!Q10),Datos!Q10," - ")</f>
        <v>13</v>
      </c>
      <c r="Y10" s="374">
        <f t="shared" ref="Y10:Y13" si="0">SUM(W10:X10)</f>
        <v>159</v>
      </c>
      <c r="Z10" s="375" t="str">
        <f>IF(ISNUMBER(Datos!CC10),Datos!CC10," - ")</f>
        <v xml:space="preserve"> - </v>
      </c>
      <c r="AA10" s="372">
        <f>IF(ISNUMBER(Datos!L10),Datos!L10,"-")</f>
        <v>162</v>
      </c>
      <c r="AB10" s="374">
        <f>IF(ISNUMBER(Datos!R10),Datos!R10," - ")</f>
        <v>27</v>
      </c>
      <c r="AC10" s="374">
        <f t="shared" ref="AC10:AC13" si="1">IF(ISNUMBER(AA10+AB10),AA10+AB10," - ")</f>
        <v>189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65</v>
      </c>
      <c r="AJ10" s="245" t="str">
        <f>IF(ISNUMBER(Datos!BW10),Datos!BW10," - ")</f>
        <v xml:space="preserve"> - </v>
      </c>
      <c r="AK10" s="246" t="str">
        <f>IF(ISNUMBER(Datos!BX10),Datos!BX10," - ")</f>
        <v xml:space="preserve"> - </v>
      </c>
      <c r="AL10" s="266">
        <f>IF(ISNUMBER(NºAsuntos!G10/NºAsuntos!E10),NºAsuntos!G10/NºAsuntos!E10," - ")</f>
        <v>1.2586206896551724</v>
      </c>
      <c r="AM10" s="284">
        <f>IF(ISNUMBER(((NºAsuntos!I10/NºAsuntos!G10)*11)/factor_trimestre),((NºAsuntos!I10/NºAsuntos!G10)*11)/factor_trimestre," - ")</f>
        <v>12.205479452054794</v>
      </c>
      <c r="AN10" s="267">
        <f>IF(ISNUMBER('Resol  Asuntos'!D10/NºAsuntos!G10),'Resol  Asuntos'!D10/NºAsuntos!G10," - ")</f>
        <v>0.4452054794520548</v>
      </c>
      <c r="AO10" s="268">
        <f>IF(ISNUMBER((NºAsuntos!C10+NºAsuntos!E10)/NºAsuntos!G10),(NºAsuntos!C10+NºAsuntos!E10)/NºAsuntos!G10," - ")</f>
        <v>2.0136986301369864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1304</v>
      </c>
      <c r="Y12" s="374">
        <f t="shared" si="0"/>
        <v>1304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951</v>
      </c>
      <c r="AJ12" s="243" t="str">
        <f>IF(ISNUMBER(Datos!BW12),Datos!BW12," - ")</f>
        <v xml:space="preserve"> - </v>
      </c>
      <c r="AK12" s="242" t="str">
        <f>IF(ISNUMBER(Datos!BX12),Datos!BX12," - ")</f>
        <v xml:space="preserve"> - </v>
      </c>
      <c r="AL12" s="266">
        <f>IF(ISNUMBER(NºAsuntos!G12/NºAsuntos!E12),NºAsuntos!G12/NºAsuntos!E12," - ")</f>
        <v>1.0786816536483139</v>
      </c>
      <c r="AM12" s="284">
        <f>IF(ISNUMBER(((NºAsuntos!I12/NºAsuntos!G12)*11)/factor_trimestre),((NºAsuntos!I12/NºAsuntos!G12)*11)/factor_trimestre," - ")</f>
        <v>8.6822677499116914</v>
      </c>
      <c r="AN12" s="267">
        <f>IF(ISNUMBER('Resol  Asuntos'!D12/NºAsuntos!G12),'Resol  Asuntos'!D12/NºAsuntos!G12," - ")</f>
        <v>0.167961850936065</v>
      </c>
      <c r="AO12" s="268">
        <f>IF(ISNUMBER((NºAsuntos!C12+NºAsuntos!E12)/NºAsuntos!G12),(NºAsuntos!C12+NºAsuntos!E12)/NºAsuntos!G12," - ")</f>
        <v>1.8021900388555281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192</v>
      </c>
      <c r="G14" s="1163">
        <f t="shared" si="5"/>
        <v>178</v>
      </c>
      <c r="H14" s="1162">
        <f t="shared" si="5"/>
        <v>0</v>
      </c>
      <c r="I14" s="1164">
        <f t="shared" si="5"/>
        <v>0</v>
      </c>
      <c r="J14" s="1164">
        <f t="shared" si="5"/>
        <v>0</v>
      </c>
      <c r="K14" s="1164">
        <f t="shared" si="5"/>
        <v>0</v>
      </c>
      <c r="L14" s="1164">
        <f t="shared" si="5"/>
        <v>1517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146</v>
      </c>
      <c r="X14" s="1164">
        <f t="shared" si="6"/>
        <v>1317</v>
      </c>
      <c r="Y14" s="1165">
        <f t="shared" si="6"/>
        <v>1463</v>
      </c>
      <c r="Z14" s="1165">
        <f t="shared" si="6"/>
        <v>0</v>
      </c>
      <c r="AA14" s="1165">
        <f t="shared" si="6"/>
        <v>162</v>
      </c>
      <c r="AB14" s="1165">
        <f t="shared" si="6"/>
        <v>6457</v>
      </c>
      <c r="AC14" s="1165">
        <f t="shared" si="6"/>
        <v>189</v>
      </c>
      <c r="AD14" s="1165">
        <f t="shared" si="6"/>
        <v>0</v>
      </c>
      <c r="AE14" s="1169">
        <f t="shared" si="6"/>
        <v>0</v>
      </c>
      <c r="AF14" s="1162">
        <f t="shared" si="6"/>
        <v>0</v>
      </c>
      <c r="AG14" s="1170">
        <f t="shared" si="6"/>
        <v>0</v>
      </c>
      <c r="AH14" s="1167">
        <f t="shared" si="6"/>
        <v>0</v>
      </c>
      <c r="AI14" s="1162">
        <f t="shared" si="6"/>
        <v>1016</v>
      </c>
      <c r="AJ14" s="1164">
        <f t="shared" si="6"/>
        <v>0</v>
      </c>
      <c r="AK14" s="1167">
        <f>SUBTOTAL(9,AK9:AK13)</f>
        <v>0</v>
      </c>
      <c r="AL14" s="1171">
        <f>IF(ISNUMBER(NºAsuntos!G14/NºAsuntos!E14),NºAsuntos!G14/NºAsuntos!E14," - ")</f>
        <v>1.0825722273998135</v>
      </c>
      <c r="AM14" s="1171">
        <f>IF(ISNUMBER(((NºAsuntos!I14/NºAsuntos!G14)*11)/factor_trimestre),((NºAsuntos!I14/NºAsuntos!G14)*11)/factor_trimestre," - ")</f>
        <v>8.7708333333333339</v>
      </c>
      <c r="AN14" s="1172">
        <f>IF(ISNUMBER('Resol  Asuntos'!D14/NºAsuntos!G14),'Resol  Asuntos'!D14/NºAsuntos!G14," - ")</f>
        <v>0.17493112947658401</v>
      </c>
      <c r="AO14" s="1173">
        <f>IF(ISNUMBER((NºAsuntos!C14+NºAsuntos!E14)/NºAsuntos!G14),(NºAsuntos!C14+NºAsuntos!E14)/NºAsuntos!G14," - ")</f>
        <v>1.8075068870523416</v>
      </c>
      <c r="AP14" s="1174" t="str">
        <f t="shared" si="2"/>
        <v xml:space="preserve"> - </v>
      </c>
      <c r="AQ14" s="1174">
        <f>IF(ISNUMBER((H14-W14+K14)/(F14)),(H14-W14+K14)/(F14)," - ")</f>
        <v>-0.76041666666666663</v>
      </c>
      <c r="AR14" s="1175">
        <f>IF(ISNUMBER((Datos!P14-Datos!Q14)/(Datos!R14-Datos!P14+Datos!Q14)),(Datos!P14-Datos!Q14)/(Datos!R14-Datos!P14+Datos!Q14)," - ")</f>
        <v>3.1964200095892598E-2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866</v>
      </c>
      <c r="G17" s="373">
        <f>IF(ISNUMBER(IF(D_I="SI",Datos!I17,Datos!I17+Datos!AC17)),IF(D_I="SI",Datos!I17,Datos!I17+Datos!AC17)," - ")</f>
        <v>926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5815</v>
      </c>
      <c r="X17" s="240">
        <f>IF(ISNUMBER(Datos!Q17),Datos!Q17," - ")</f>
        <v>174</v>
      </c>
      <c r="Y17" s="374">
        <f t="shared" ref="Y17:Y22" si="9">SUM(W17:X17)</f>
        <v>5989</v>
      </c>
      <c r="Z17" s="375" t="str">
        <f>IF(ISNUMBER(Datos!CC17),Datos!CC17," - ")</f>
        <v xml:space="preserve"> - </v>
      </c>
      <c r="AA17" s="372">
        <f>IF(ISNUMBER(IF(D_I="SI",Datos!L17,Datos!L17+Datos!AF17)),IF(D_I="SI",Datos!L17,Datos!L17+Datos!AF17)," - ")</f>
        <v>1303</v>
      </c>
      <c r="AB17" s="374">
        <f>IF(ISNUMBER(Datos!R17),Datos!R17," - ")</f>
        <v>139</v>
      </c>
      <c r="AC17" s="374">
        <f t="shared" si="8"/>
        <v>1442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893</v>
      </c>
      <c r="AJ17" s="245" t="str">
        <f>IF(ISNUMBER(Datos!BW17),Datos!BW17," - ")</f>
        <v xml:space="preserve"> - </v>
      </c>
      <c r="AK17" s="246" t="str">
        <f>IF(ISNUMBER(Datos!BX17),Datos!BX17," - ")</f>
        <v xml:space="preserve"> - </v>
      </c>
      <c r="AL17" s="266">
        <f>IF(ISNUMBER(NºAsuntos!G17/NºAsuntos!E17),NºAsuntos!G17/NºAsuntos!E17," - ")</f>
        <v>0.93010236724248241</v>
      </c>
      <c r="AM17" s="284">
        <f>IF(ISNUMBER(((NºAsuntos!I17/NºAsuntos!G17)*11)/factor_trimestre),((NºAsuntos!I17/NºAsuntos!G17)*11)/factor_trimestre," - ")</f>
        <v>2.4648323301805672</v>
      </c>
      <c r="AN17" s="267">
        <f>IF(ISNUMBER('Resol  Asuntos'!D17/NºAsuntos!G17),'Resol  Asuntos'!D17/NºAsuntos!G17," - ")</f>
        <v>0.15356835769561478</v>
      </c>
      <c r="AO17" s="268">
        <f>IF(ISNUMBER((NºAsuntos!C17+NºAsuntos!E17)/NºAsuntos!G17),(NºAsuntos!C17+NºAsuntos!E17)/NºAsuntos!G17," - ")</f>
        <v>1.2343938091143594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1034</v>
      </c>
      <c r="X18" s="240">
        <f>IF(ISNUMBER(Datos!Q18),Datos!Q18," - ")</f>
        <v>13</v>
      </c>
      <c r="Y18" s="374">
        <f t="shared" si="9"/>
        <v>1047</v>
      </c>
      <c r="Z18" s="375" t="str">
        <f>IF(ISNUMBER(Datos!CC18),Datos!CC18," - ")</f>
        <v xml:space="preserve"> - </v>
      </c>
      <c r="AA18" s="372">
        <f>IF(ISNUMBER(Datos!L18),Datos!L18,"-")</f>
        <v>158</v>
      </c>
      <c r="AB18" s="374">
        <f>IF(ISNUMBER(Datos!R18),Datos!R18," - ")</f>
        <v>11</v>
      </c>
      <c r="AC18" s="374">
        <f t="shared" si="8"/>
        <v>169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149</v>
      </c>
      <c r="AJ18" s="245" t="str">
        <f>IF(ISNUMBER(Datos!BW18),Datos!BW18," - ")</f>
        <v xml:space="preserve"> - </v>
      </c>
      <c r="AK18" s="246" t="str">
        <f>IF(ISNUMBER(Datos!BX18),Datos!BX18," - ")</f>
        <v xml:space="preserve"> - </v>
      </c>
      <c r="AL18" s="266">
        <f>IF(ISNUMBER(NºAsuntos!G18/NºAsuntos!E18),NºAsuntos!G18/NºAsuntos!E18," - ")</f>
        <v>1.0217391304347827</v>
      </c>
      <c r="AM18" s="284">
        <f>IF(ISNUMBER(((NºAsuntos!I18/NºAsuntos!G18)*11)/factor_trimestre),((NºAsuntos!I18/NºAsuntos!G18)*11)/factor_trimestre," - ")</f>
        <v>1.6808510638297871</v>
      </c>
      <c r="AN18" s="267">
        <f>IF(ISNUMBER('Resol  Asuntos'!D18/NºAsuntos!G18),'Resol  Asuntos'!D18/NºAsuntos!G18," - ")</f>
        <v>0.14410058027079303</v>
      </c>
      <c r="AO18" s="268">
        <f>IF(ISNUMBER((NºAsuntos!C18+NºAsuntos!E18)/NºAsuntos!G18),(NºAsuntos!C18+NºAsuntos!E18)/NºAsuntos!G18," - ")</f>
        <v>1.0986460348162477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866</v>
      </c>
      <c r="G23" s="1163">
        <f>SUBTOTAL(9,G16:G22)</f>
        <v>1050</v>
      </c>
      <c r="H23" s="1162">
        <f t="shared" ref="H23:O23" si="13">SUBTOTAL(9,H15:H22)</f>
        <v>0</v>
      </c>
      <c r="I23" s="1164">
        <f t="shared" si="13"/>
        <v>0</v>
      </c>
      <c r="J23" s="1164">
        <f t="shared" si="13"/>
        <v>0</v>
      </c>
      <c r="K23" s="1164">
        <f t="shared" si="13"/>
        <v>0</v>
      </c>
      <c r="L23" s="1164">
        <f t="shared" si="13"/>
        <v>168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6849</v>
      </c>
      <c r="X23" s="1164">
        <f t="shared" si="14"/>
        <v>187</v>
      </c>
      <c r="Y23" s="1165">
        <f t="shared" si="14"/>
        <v>7036</v>
      </c>
      <c r="Z23" s="1165">
        <f t="shared" si="14"/>
        <v>0</v>
      </c>
      <c r="AA23" s="1165">
        <f t="shared" si="14"/>
        <v>1461</v>
      </c>
      <c r="AB23" s="1165">
        <f t="shared" si="14"/>
        <v>150</v>
      </c>
      <c r="AC23" s="1165">
        <f t="shared" si="14"/>
        <v>1611</v>
      </c>
      <c r="AD23" s="1165">
        <f t="shared" si="14"/>
        <v>0</v>
      </c>
      <c r="AE23" s="1169">
        <f t="shared" si="14"/>
        <v>0</v>
      </c>
      <c r="AF23" s="1162">
        <f t="shared" si="14"/>
        <v>0</v>
      </c>
      <c r="AG23" s="1170">
        <f t="shared" si="14"/>
        <v>0</v>
      </c>
      <c r="AH23" s="1167">
        <f t="shared" si="14"/>
        <v>0</v>
      </c>
      <c r="AI23" s="1162">
        <f t="shared" si="14"/>
        <v>1042</v>
      </c>
      <c r="AJ23" s="1164">
        <f t="shared" si="14"/>
        <v>0</v>
      </c>
      <c r="AK23" s="1167">
        <f t="shared" si="14"/>
        <v>0</v>
      </c>
      <c r="AL23" s="1171">
        <f>IF(ISNUMBER(NºAsuntos!G23/NºAsuntos!E23),NºAsuntos!G23/NºAsuntos!E23," - ")</f>
        <v>0.94286894273127753</v>
      </c>
      <c r="AM23" s="1171">
        <f>IF(ISNUMBER(((NºAsuntos!I23/NºAsuntos!G23)*11)/factor_trimestre),((NºAsuntos!I23/NºAsuntos!G23)*11)/factor_trimestre," - ")</f>
        <v>2.3464739378011386</v>
      </c>
      <c r="AN23" s="1172">
        <f>IF(ISNUMBER('Resol  Asuntos'!D23/NºAsuntos!G23),'Resol  Asuntos'!D23/NºAsuntos!G23," - ")</f>
        <v>0.15213899839392611</v>
      </c>
      <c r="AO23" s="1173">
        <f>IF(ISNUMBER((NºAsuntos!C23+NºAsuntos!E23)/NºAsuntos!G23),(NºAsuntos!C23+NºAsuntos!E23)/NºAsuntos!G23," - ")</f>
        <v>1.2138998393926121</v>
      </c>
      <c r="AP23" s="1174" t="str">
        <f t="shared" si="2"/>
        <v xml:space="preserve"> - </v>
      </c>
      <c r="AQ23" s="1174">
        <f>IF(ISNUMBER((H23-W23+K23)/(F23)),(H23-W23+K23)/(F23)," - ")</f>
        <v>-7.9087759815242498</v>
      </c>
      <c r="AR23" s="1175">
        <f>IF(ISNUMBER((Datos!P23-Datos!Q23)/(Datos!R23-Datos!P23+Datos!Q23)),(Datos!P23-Datos!Q23)/(Datos!R23-Datos!P23+Datos!Q23)," - ")</f>
        <v>-0.11242603550295859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1058</v>
      </c>
      <c r="G31" s="1118">
        <f t="shared" si="20"/>
        <v>1228</v>
      </c>
      <c r="H31" s="1117">
        <f t="shared" si="20"/>
        <v>0</v>
      </c>
      <c r="I31" s="1119">
        <f t="shared" si="20"/>
        <v>0</v>
      </c>
      <c r="J31" s="1119">
        <f t="shared" si="20"/>
        <v>0</v>
      </c>
      <c r="K31" s="1180">
        <f t="shared" si="20"/>
        <v>0</v>
      </c>
      <c r="L31" s="1119">
        <f t="shared" si="20"/>
        <v>1685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6995</v>
      </c>
      <c r="X31" s="1118">
        <f t="shared" si="21"/>
        <v>1504</v>
      </c>
      <c r="Y31" s="1125">
        <f t="shared" si="21"/>
        <v>8499</v>
      </c>
      <c r="Z31" s="1125">
        <f t="shared" si="21"/>
        <v>0</v>
      </c>
      <c r="AA31" s="1125">
        <f t="shared" si="21"/>
        <v>1623</v>
      </c>
      <c r="AB31" s="1125">
        <f t="shared" si="21"/>
        <v>6607</v>
      </c>
      <c r="AC31" s="1125">
        <f t="shared" si="21"/>
        <v>1800</v>
      </c>
      <c r="AD31" s="1125">
        <f t="shared" si="21"/>
        <v>0</v>
      </c>
      <c r="AE31" s="1127">
        <f t="shared" si="21"/>
        <v>0</v>
      </c>
      <c r="AF31" s="1128">
        <f t="shared" si="21"/>
        <v>0</v>
      </c>
      <c r="AG31" s="1129">
        <f t="shared" si="21"/>
        <v>0</v>
      </c>
      <c r="AH31" s="1127">
        <f t="shared" si="21"/>
        <v>0</v>
      </c>
      <c r="AI31" s="1117">
        <f t="shared" si="21"/>
        <v>2058</v>
      </c>
      <c r="AJ31" s="1117">
        <f t="shared" si="21"/>
        <v>0</v>
      </c>
      <c r="AK31" s="1127">
        <f t="shared" si="21"/>
        <v>0</v>
      </c>
      <c r="AL31" s="1183">
        <f>IF(ISNUMBER(NºAsuntos!G31/NºAsuntos!E31),NºAsuntos!G31/NºAsuntos!E31," - ")</f>
        <v>1.0022171193285296</v>
      </c>
      <c r="AM31" s="1184">
        <f>IF(ISNUMBER(((NºAsuntos!I31/NºAsuntos!G31)*11)/factor_trimestre),((NºAsuntos!I31/NºAsuntos!G31)*11)/factor_trimestre," - ")</f>
        <v>5.2944615627715894</v>
      </c>
      <c r="AN31" s="1184">
        <f>IF(ISNUMBER('Resol  Asuntos'!D31/NºAsuntos!G31),'Resol  Asuntos'!D31/NºAsuntos!G31," - ")</f>
        <v>0.16259777198388245</v>
      </c>
      <c r="AO31" s="1185">
        <f>IF(ISNUMBER((NºAsuntos!C31+NºAsuntos!E31)/NºAsuntos!G31),(NºAsuntos!C31+NºAsuntos!E31)/NºAsuntos!G31," - ")</f>
        <v>1.486292170340523</v>
      </c>
      <c r="AP31" s="1186" t="str">
        <f t="shared" si="2"/>
        <v xml:space="preserve"> - </v>
      </c>
      <c r="AQ31" s="1187">
        <f>IF(OR(ISNUMBER(FIND("01",Criterios!A8,1)),ISNUMBER(FIND("02",Criterios!A8,1)),ISNUMBER(FIND("03",Criterios!A8,1)),ISNUMBER(FIND("04",Criterios!A8,1))),(I31-W31+K31)/(F31-K31),(H31-W31+K31)/(F31-K31))</f>
        <v>-6.6115311909262759</v>
      </c>
      <c r="AR31" s="1188">
        <f>IF(ISNUMBER((Datos!P31-Datos!Q31)/(Datos!R31-Datos!P31+Datos!Q31)),(Datos!P31-Datos!Q31)/(Datos!R31-Datos!P31+Datos!Q31)," - ")</f>
        <v>2.8166822284469345E-2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406.79167477551294</v>
      </c>
      <c r="G33" s="277">
        <f>IF(ISNUMBER(STDEV(G8:G30)),STDEV(G8:G30),"-")</f>
        <v>442.9098586136268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2996.5201961131993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496.93546577282763</v>
      </c>
      <c r="AJ33" s="276">
        <f t="shared" si="25"/>
        <v>0</v>
      </c>
      <c r="AK33" s="278">
        <f t="shared" si="25"/>
        <v>0</v>
      </c>
      <c r="AL33" s="273">
        <f t="shared" si="25"/>
        <v>0.12001825541870803</v>
      </c>
      <c r="AM33" s="274">
        <f t="shared" si="25"/>
        <v>4.4244090354041168</v>
      </c>
      <c r="AN33" s="274">
        <f t="shared" si="25"/>
        <v>0.11756908942985607</v>
      </c>
      <c r="AO33" s="275">
        <f t="shared" si="25"/>
        <v>0.38946498209279823</v>
      </c>
      <c r="AP33" s="317" t="str">
        <f t="shared" si="25"/>
        <v>-</v>
      </c>
      <c r="AQ33" s="318">
        <f t="shared" si="25"/>
        <v>5.0546533458938194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eyYUE8CVa/aiXJJy09sGUp9iXOxbYrxWmF1LZ90XZ6Zylv/cUSyWylAEMTgmoo4cyMqUEuShF71njfHTPThlQ==" saltValue="ztRJikwFO217ddN8idoM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ROQUETAS DE MAR</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-2.7322404371584699E-2</v>
      </c>
      <c r="E10" s="393">
        <f>IF(ISNUMBER((Datos!J10-Datos!T10)/Datos!T10),(Datos!J10-Datos!T10)/Datos!T10," - ")</f>
        <v>0.24731182795698925</v>
      </c>
      <c r="F10" s="393">
        <f>IF(ISNUMBER((Datos!K10-Datos!U10)/Datos!U10),(Datos!K10-Datos!U10)/Datos!U10," - ")</f>
        <v>0.48979591836734693</v>
      </c>
      <c r="G10" s="394">
        <f>IF(ISNUMBER((Datos!L10-Datos!V10)/Datos!V10),(Datos!L10-Datos!V10)/Datos!V10," - ")</f>
        <v>-8.98876404494382E-2</v>
      </c>
      <c r="H10" s="244">
        <f>IF(ISNUMBER((Datos!M10-Datos!W10)/Datos!W10),(Datos!M10-Datos!W10)/Datos!W10," - ")</f>
        <v>0.91176470588235292</v>
      </c>
      <c r="I10" s="395">
        <f>IF(ISNUMBER((Tasas!C10-Datos!BE10)/Datos!BE10),(Tasas!C10-Datos!BE10)/Datos!BE10," - ")</f>
        <v>-0.38910266276743111</v>
      </c>
      <c r="J10" s="394">
        <f>IF(ISNUMBER((Tasas!D10-Datos!BF10)/Datos!BF10),(Tasas!D10-Datos!BF10)/Datos!BF10," - ")</f>
        <v>0.2832393231265109</v>
      </c>
      <c r="K10" s="396">
        <f>IF(ISNUMBER((Tasas!E10-Datos!BG10)/Datos!BG10),(Tasas!E10-Datos!BG10)/Datos!BG10," - ")</f>
        <v>-0.28499106611078023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-0.16652059596844873</v>
      </c>
      <c r="I12" s="395">
        <f>IF(ISNUMBER((Tasas!C12-Datos!BE12)/Datos!BE12),(Tasas!C12-Datos!BE12)/Datos!BE12," - ")</f>
        <v>4.0024330596705585E-2</v>
      </c>
      <c r="J12" s="394">
        <f>IF(ISNUMBER((Tasas!D12-Datos!BF12)/Datos!BF12),(Tasas!D12-Datos!BF12)/Datos!BF12," - ")</f>
        <v>-0.59653314026432369</v>
      </c>
      <c r="K12" s="396">
        <f>IF(ISNUMBER((Tasas!E12-Datos!BG12)/Datos!BG12),(Tasas!E12-Datos!BG12)/Datos!BG12," - ")</f>
        <v>3.07024144786039E-2</v>
      </c>
      <c r="M12" t="e">
        <f>IF(Monitorios="SI",Datos!CE12,0)</f>
        <v>#REF!</v>
      </c>
      <c r="N12" t="e">
        <f>IF(Monitorios="SI",Datos!CF12,0)</f>
        <v>#REF!</v>
      </c>
      <c r="O12" t="e">
        <f>IF(Monitorios="SI",Datos!CG12,0)</f>
        <v>#REF!</v>
      </c>
      <c r="P12" t="e">
        <f>IF(Monitorios="SI",Datos!CH12,0)</f>
        <v>#REF!</v>
      </c>
      <c r="Q12">
        <f>IF(J_V="SI",0,Datos!AG12)</f>
        <v>124</v>
      </c>
      <c r="R12">
        <f>IF(J_V="SI",0,Datos!AH12)</f>
        <v>382</v>
      </c>
      <c r="S12">
        <f>IF(J_V="SI",0,Datos!AI12)</f>
        <v>443</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-0.13531914893617022</v>
      </c>
      <c r="I14" s="402">
        <f>IF(ISNUMBER((Tasas!C14-Datos!BE14)/Datos!BE14),(Tasas!C14-Datos!BE14)/Datos!BE14," - ")</f>
        <v>2.9423029240387515E-2</v>
      </c>
      <c r="J14" s="400">
        <f>IF(ISNUMBER((Tasas!D14-Datos!BF14)/Datos!BF14),(Tasas!D14-Datos!BF14)/Datos!BF14," - ")</f>
        <v>-0.57875414424370564</v>
      </c>
      <c r="K14" s="403">
        <f>IF(ISNUMBER((Tasas!E14-Datos!BG14)/Datos!BG14),(Tasas!E14-Datos!BG14)/Datos!BG14," - ")</f>
        <v>2.4490945988356813E-2</v>
      </c>
      <c r="M14" t="e">
        <f>IF(Monitorios="SI",Datos!CE14,0)</f>
        <v>#REF!</v>
      </c>
      <c r="N14" t="e">
        <f>IF(Monitorios="SI",Datos!CF14,0)</f>
        <v>#REF!</v>
      </c>
      <c r="O14" t="e">
        <f>IF(Monitorios="SI",Datos!CG14,0)</f>
        <v>#REF!</v>
      </c>
      <c r="P14" t="e">
        <f>IF(Monitorios="SI",Datos!CH14,0)</f>
        <v>#REF!</v>
      </c>
      <c r="Q14">
        <f>IF(J_V="SI",0,Datos!AG14)</f>
        <v>124</v>
      </c>
      <c r="R14">
        <f>IF(J_V="SI",0,Datos!AH14)</f>
        <v>382</v>
      </c>
      <c r="S14">
        <f>IF(J_V="SI",0,Datos!AI14)</f>
        <v>443</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-0.36705399863294602</v>
      </c>
      <c r="E17" s="393">
        <f>IF(ISNUMBER(
   IF(D_I="SI",(Datos!J17-Datos!T17)/Datos!T17,(Datos!J17+Datos!AD17-(Datos!T17+Datos!AL17))/(Datos!T17+Datos!AL17))
     ),IF(D_I="SI",(Datos!J17-Datos!T17)/Datos!T17,(Datos!J17+Datos!AD17-(Datos!T17+Datos!AL17))/(Datos!T17+Datos!AL17))," - ")</f>
        <v>0.10400847607275296</v>
      </c>
      <c r="F17" s="393">
        <f>IF(ISNUMBER(
   IF(D_I="SI",(Datos!K17-Datos!U17)/Datos!U17,(Datos!K17+Datos!AE17-(Datos!U17+Datos!AM17))/(Datos!U17+Datos!AM17))
     ),IF(D_I="SI",(Datos!K17-Datos!U17)/Datos!U17,(Datos!K17+Datos!AE17-(Datos!U17+Datos!AM17))/(Datos!U17+Datos!AM17))," - ")</f>
        <v>-1.3905375614719349E-2</v>
      </c>
      <c r="G17" s="394">
        <f>IF(ISNUMBER(
   IF(D_I="SI",(Datos!L17-Datos!V17)/Datos!V17,(Datos!L17+Datos!AF17-(Datos!V17+Datos!AN17))/(Datos!V17+Datos!AN17))
     ),IF(D_I="SI",(Datos!L17-Datos!V17)/Datos!V17,(Datos!L17+Datos!AF17-(Datos!V17+Datos!AN17))/(Datos!V17+Datos!AN17))," - ")</f>
        <v>0.40712742980561556</v>
      </c>
      <c r="H17" s="244">
        <f>IF(ISNUMBER((Datos!M17-Datos!W17)/Datos!W17),(Datos!M17-Datos!W17)/Datos!W17," - ")</f>
        <v>2.880184331797235E-2</v>
      </c>
      <c r="I17" s="395">
        <f>IF(ISNUMBER((Tasas!C17-Datos!BE17)/Datos!BE17),(Tasas!C17-Datos!BE17)/Datos!BE17," - ")</f>
        <v>0.426969983415944</v>
      </c>
      <c r="J17" s="394">
        <f>IF(ISNUMBER((Tasas!D17-Datos!BF17)/Datos!BF17),(Tasas!D17-Datos!BF17)/Datos!BF17," - ")</f>
        <v>4.3309453146359859E-2</v>
      </c>
      <c r="K17" s="396">
        <f>IF(ISNUMBER((Tasas!E17-Datos!BG17)/Datos!BG17),(Tasas!E17-Datos!BG17)/Datos!BG17," - ")</f>
        <v>2.1501584668450285E-2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0.10714285714285714</v>
      </c>
      <c r="E18" s="393">
        <f>IF(ISNUMBER(
   IF(D_I="SI",(Datos!J18-Datos!T18)/Datos!T18,(Datos!J18+Datos!AD18-(Datos!T18+Datos!AL18))/(Datos!T18+Datos!AL18))
     ),IF(D_I="SI",(Datos!J18-Datos!T18)/Datos!T18,(Datos!J18+Datos!AD18-(Datos!T18+Datos!AL18))/(Datos!T18+Datos!AL18))," - ")</f>
        <v>0.19339622641509435</v>
      </c>
      <c r="F18" s="393">
        <f>IF(ISNUMBER(
   IF(D_I="SI",(Datos!K18-Datos!U18)/Datos!U18,(Datos!K18+Datos!AE18-(Datos!U18+Datos!AM18))/(Datos!U18+Datos!AM18))
     ),IF(D_I="SI",(Datos!K18-Datos!U18)/Datos!U18,(Datos!K18+Datos!AE18-(Datos!U18+Datos!AM18))/(Datos!U18+Datos!AM18))," - ")</f>
        <v>0.49638205499276411</v>
      </c>
      <c r="G18" s="394">
        <f>IF(ISNUMBER(
   IF(D_I="SI",(Datos!L18-Datos!V18)/Datos!V18,(Datos!L18+Datos!AF18-(Datos!V18+Datos!AN18))/(Datos!V18+Datos!AN18))
     ),IF(D_I="SI",(Datos!L18-Datos!V18)/Datos!V18,(Datos!L18+Datos!AF18-(Datos!V18+Datos!AN18))/(Datos!V18+Datos!AN18))," - ")</f>
        <v>0.27419354838709675</v>
      </c>
      <c r="H18" s="244">
        <f>IF(ISNUMBER((Datos!M18-Datos!W18)/Datos!W18),(Datos!M18-Datos!W18)/Datos!W18," - ")</f>
        <v>-0.18579234972677597</v>
      </c>
      <c r="I18" s="395">
        <f>IF(ISNUMBER((Tasas!C18-Datos!BE18)/Datos!BE18),(Tasas!C18-Datos!BE18)/Datos!BE18," - ")</f>
        <v>-0.14848380857303303</v>
      </c>
      <c r="J18" s="394">
        <f>IF(ISNUMBER((Tasas!D18-Datos!BF18)/Datos!BF18),(Tasas!D18-Datos!BF18)/Datos!BF18," - ")</f>
        <v>-0.45588250837640448</v>
      </c>
      <c r="K18" s="396">
        <f>IF(ISNUMBER((Tasas!E18-Datos!BG18)/Datos!BG18),(Tasas!E18-Datos!BG18)/Datos!BG18," - ")</f>
        <v>-0.20920373952288837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-0.33333333333333331</v>
      </c>
      <c r="E23" s="399">
        <f>IF(ISNUMBER(
   IF(D_I="SI",(Datos!J23-Datos!T23)/Datos!T23,(Datos!J23+Datos!AD23-(Datos!T23+Datos!AL23))/(Datos!T23+Datos!AL23))
     ),IF(D_I="SI",(Datos!J23-Datos!T23)/Datos!T23,(Datos!J23+Datos!AD23-(Datos!T23+Datos!AL23))/(Datos!T23+Datos!AL23))," - ")</f>
        <v>0.11565043772078022</v>
      </c>
      <c r="F23" s="399">
        <f>IF(ISNUMBER(
   IF(D_I="SI",(Datos!K23-Datos!U23)/Datos!U23,(Datos!K23+Datos!AE23-(Datos!U23+Datos!AM23))/(Datos!U23+Datos!AM23))
     ),IF(D_I="SI",(Datos!K23-Datos!U23)/Datos!U23,(Datos!K23+Datos!AE23-(Datos!U23+Datos!AM23))/(Datos!U23+Datos!AM23))," - ")</f>
        <v>3.9617486338797817E-2</v>
      </c>
      <c r="G23" s="400">
        <f>IF(ISNUMBER(
   IF(D_I="SI",(Datos!L23-Datos!V23)/Datos!V23,(Datos!L23+Datos!AF23-(Datos!V23+Datos!AN23))/(Datos!V23+Datos!AN23))
     ),IF(D_I="SI",(Datos!L23-Datos!V23)/Datos!V23,(Datos!L23+Datos!AF23-(Datos!V23+Datos!AN23))/(Datos!V23+Datos!AN23))," - ")</f>
        <v>0.3914285714285714</v>
      </c>
      <c r="H23" s="401">
        <f>IF(ISNUMBER((Datos!M23-Datos!W23)/Datos!W23),(Datos!M23-Datos!W23)/Datos!W23," - ")</f>
        <v>-8.5632730732635581E-3</v>
      </c>
      <c r="I23" s="402">
        <f>IF(ISNUMBER((Tasas!C23-Datos!BE23)/Datos!BE23),(Tasas!C23-Datos!BE23)/Datos!BE23," - ")</f>
        <v>0.33840435517176637</v>
      </c>
      <c r="J23" s="400">
        <f>IF(ISNUMBER((Tasas!D23-Datos!BF23)/Datos!BF23),(Tasas!D23-Datos!BF23)/Datos!BF23," - ")</f>
        <v>-4.6344698935123559E-2</v>
      </c>
      <c r="K23" s="403">
        <f>IF(ISNUMBER((Tasas!E23-Datos!BG23)/Datos!BG23),(Tasas!E23-Datos!BG23)/Datos!BG23," - ")</f>
        <v>-1.098538932494076E-2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-0.19017681728880156</v>
      </c>
      <c r="E31" s="409">
        <f>IF(ISNUMBER(
   IF(J_V="SI",(Datos!J31-Datos!T31)/Datos!T31,(Datos!J31+Datos!Z31-(Datos!T31+Datos!AH31))/(Datos!T31+Datos!AH31))
     ),IF(J_V="SI",(Datos!J31-Datos!T31)/Datos!T31,(Datos!J31+Datos!Z31-(Datos!T31+Datos!AH31))/(Datos!T31+Datos!AH31))," - ")</f>
        <v>4.0023058552252327E-2</v>
      </c>
      <c r="F31" s="409">
        <f>IF(ISNUMBER(
   IF(J_V="SI",(Datos!K31-Datos!U31)/Datos!U31,(Datos!K31+Datos!AA31-(Datos!U31+Datos!AI31))/(Datos!U31+Datos!AI31))
     ),IF(J_V="SI",(Datos!K31-Datos!U31)/Datos!U31,(Datos!K31+Datos!AA31-(Datos!U31+Datos!AI31))/(Datos!U31+Datos!AI31))," - ")</f>
        <v>-4.2224744608399548E-2</v>
      </c>
      <c r="G31" s="410">
        <f>IF(ISNUMBER(
   IF(J_V="SI",(Datos!L31-Datos!V31)/Datos!V31,(Datos!L31+Datos!AB31-(Datos!V31+Datos!AJ31))/(Datos!V31+Datos!AJ31))
     ),IF(J_V="SI",(Datos!L31-Datos!V31)/Datos!V31,(Datos!L31+Datos!AB31-(Datos!V31+Datos!AJ31))/(Datos!V31+Datos!AJ31))," - ")</f>
        <v>-1.4717774543102054E-2</v>
      </c>
      <c r="H31" s="411">
        <f>IF(ISNUMBER((Datos!M31-Datos!W31)/Datos!W31),(Datos!M31-Datos!W31)/Datos!W31," - ")</f>
        <v>-7.5471698113207544E-2</v>
      </c>
      <c r="I31" s="408">
        <f>IF(ISNUMBER((Tasas!C31-Datos!BE31)/Datos!BE31),(Tasas!C31-Datos!BE31)/Datos!BE31," - ")</f>
        <v>2.8719649949664767E-2</v>
      </c>
      <c r="J31" s="409">
        <f>IF(ISNUMBER((Tasas!D31-Datos!BF31)/Datos!BF31),(Tasas!D31-Datos!BF31)/Datos!BF31," - ")</f>
        <v>-0.43499091328766587</v>
      </c>
      <c r="K31" s="410">
        <f>IF(ISNUMBER((Tasas!E31-Datos!BG31)/Datos!BG31),(Tasas!E31-Datos!BG31)/Datos!BG31," - ")</f>
        <v>-6.9091399003938844E-3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0.23222836587611151</v>
      </c>
      <c r="E33" s="303">
        <f t="shared" si="1"/>
        <v>6.7668048388064242E-2</v>
      </c>
      <c r="F33" s="303">
        <f t="shared" si="1"/>
        <v>0.27813528200977217</v>
      </c>
      <c r="G33" s="304">
        <f t="shared" si="1"/>
        <v>0.23146387579071745</v>
      </c>
      <c r="H33" s="310">
        <f t="shared" si="1"/>
        <v>0.4194915911101178</v>
      </c>
      <c r="I33" s="302">
        <f t="shared" si="1"/>
        <v>0.3026589046780454</v>
      </c>
      <c r="J33" s="303">
        <f t="shared" si="1"/>
        <v>0.36842918856746443</v>
      </c>
      <c r="K33" s="304">
        <f t="shared" si="1"/>
        <v>0.13893280326791591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E3YN90yUX4j3p9+uP/cEQxDZYdX/5fdOnhb5Tf9tlW9mspolIFXq+Jqen/FO/FFt1LYRKCHWRv/BUTpygGzuA==" saltValue="PJr9PQUmat2greyhLMBj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